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0" yWindow="0" windowWidth="20490" windowHeight="7620"/>
  </bookViews>
  <sheets>
    <sheet name="Hoja1" sheetId="2" r:id="rId1"/>
  </sheets>
  <definedNames>
    <definedName name="_xlnm._FilterDatabase" localSheetId="0" hidden="1">Hoja1!#REF!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2" l="1"/>
  <c r="H88" i="2"/>
  <c r="H65" i="2"/>
  <c r="H104" i="2"/>
  <c r="H14" i="2"/>
  <c r="H118" i="2"/>
  <c r="H155" i="2"/>
  <c r="H95" i="2"/>
  <c r="H131" i="2"/>
  <c r="H92" i="2"/>
  <c r="H110" i="2"/>
  <c r="H128" i="2"/>
  <c r="H7" i="2"/>
  <c r="H144" i="2"/>
  <c r="H134" i="2"/>
  <c r="H72" i="2"/>
  <c r="H94" i="2"/>
  <c r="H116" i="2"/>
  <c r="H125" i="2"/>
  <c r="H58" i="2"/>
  <c r="H136" i="2"/>
  <c r="H114" i="2"/>
  <c r="H140" i="2"/>
  <c r="H151" i="2"/>
  <c r="H115" i="2"/>
  <c r="H69" i="2"/>
  <c r="H133" i="2"/>
  <c r="H74" i="2"/>
  <c r="H75" i="2"/>
  <c r="H121" i="2"/>
  <c r="H73" i="2"/>
  <c r="H21" i="2"/>
  <c r="H93" i="2"/>
  <c r="H51" i="2"/>
  <c r="H124" i="2"/>
  <c r="H32" i="2"/>
  <c r="H130" i="2"/>
  <c r="H141" i="2"/>
  <c r="H87" i="2"/>
  <c r="H76" i="2"/>
  <c r="H55" i="2"/>
  <c r="H11" i="2"/>
  <c r="H48" i="2"/>
  <c r="H103" i="2"/>
  <c r="H123" i="2"/>
  <c r="H27" i="2"/>
  <c r="H132" i="2"/>
  <c r="H154" i="2"/>
  <c r="H109" i="2"/>
  <c r="H53" i="2"/>
  <c r="H56" i="2"/>
  <c r="H54" i="2"/>
  <c r="H49" i="2"/>
  <c r="H8" i="2"/>
  <c r="H82" i="2"/>
  <c r="H89" i="2"/>
  <c r="H107" i="2"/>
  <c r="H135" i="2"/>
  <c r="H31" i="2"/>
  <c r="H157" i="2"/>
  <c r="H137" i="2"/>
  <c r="H119" i="2"/>
  <c r="H117" i="2"/>
  <c r="H98" i="2"/>
  <c r="H120" i="2"/>
  <c r="H15" i="2"/>
  <c r="H26" i="2"/>
  <c r="H80" i="2"/>
  <c r="H143" i="2"/>
  <c r="H96" i="2"/>
  <c r="H86" i="2"/>
  <c r="H67" i="2"/>
  <c r="H101" i="2"/>
  <c r="H145" i="2"/>
  <c r="H148" i="2"/>
  <c r="H9" i="2"/>
  <c r="H13" i="2"/>
  <c r="H142" i="2"/>
  <c r="H111" i="2"/>
  <c r="H36" i="2"/>
  <c r="H28" i="2"/>
  <c r="H113" i="2"/>
  <c r="H129" i="2"/>
  <c r="H97" i="2"/>
  <c r="H35" i="2"/>
  <c r="H71" i="2"/>
  <c r="H39" i="2"/>
  <c r="H126" i="2"/>
  <c r="H52" i="2"/>
  <c r="H106" i="2"/>
  <c r="H16" i="2"/>
  <c r="H149" i="2"/>
  <c r="H12" i="2"/>
  <c r="H44" i="2"/>
  <c r="H112" i="2"/>
  <c r="H146" i="2"/>
  <c r="H57" i="2"/>
  <c r="H33" i="2"/>
  <c r="H138" i="2"/>
  <c r="H99" i="2"/>
  <c r="H19" i="2"/>
  <c r="H147" i="2"/>
  <c r="H24" i="2"/>
  <c r="H18" i="2"/>
  <c r="H122" i="2"/>
  <c r="H46" i="2"/>
  <c r="H41" i="2"/>
  <c r="H127" i="2"/>
  <c r="H91" i="2"/>
  <c r="H78" i="2"/>
  <c r="H84" i="2"/>
  <c r="H156" i="2"/>
  <c r="H70" i="2"/>
  <c r="H23" i="2"/>
  <c r="H38" i="2"/>
  <c r="H47" i="2"/>
  <c r="H22" i="2"/>
  <c r="H25" i="2"/>
  <c r="H90" i="2"/>
  <c r="H100" i="2"/>
  <c r="H105" i="2"/>
  <c r="H139" i="2"/>
  <c r="H79" i="2"/>
  <c r="H77" i="2"/>
  <c r="H108" i="2"/>
  <c r="H61" i="2"/>
</calcChain>
</file>

<file path=xl/sharedStrings.xml><?xml version="1.0" encoding="utf-8"?>
<sst xmlns="http://schemas.openxmlformats.org/spreadsheetml/2006/main" count="522" uniqueCount="204">
  <si>
    <t>MEDIDA</t>
  </si>
  <si>
    <t>FECHA REGISTRO</t>
  </si>
  <si>
    <t>NOMBRE DEL ARTICULO</t>
  </si>
  <si>
    <t>DIRECCION DE INFORMACION Y DEFENSA DE LOS AFILIADOS A LA SEGURIDAD SOCIAL (DIDA)</t>
  </si>
  <si>
    <t>PERIODO ADQUISICION</t>
  </si>
  <si>
    <t>EXISTENCIA</t>
  </si>
  <si>
    <t>N/D</t>
  </si>
  <si>
    <t>Abr-Jun 2015</t>
  </si>
  <si>
    <t>Abr-Jun 2016</t>
  </si>
  <si>
    <t>Ene-Mar 2016</t>
  </si>
  <si>
    <t>Abr-Jun 2017</t>
  </si>
  <si>
    <t>CODIGO</t>
  </si>
  <si>
    <t>CINTAS DE IMPRESORAS EPSON FX2190</t>
  </si>
  <si>
    <t xml:space="preserve">FELPAS AZUL  </t>
  </si>
  <si>
    <t>PERFORADORAS DE 3 HOYUELOS</t>
  </si>
  <si>
    <t>CEPILLOS INODOROS CON BASE LINDA</t>
  </si>
  <si>
    <t>ESPUMAS LIMPIADORAS 623 GMS. STP STUFF</t>
  </si>
  <si>
    <t>VALORES</t>
  </si>
  <si>
    <t>GRAPADORAS GRANDE DE 100 PAGINAS (23 X 13)</t>
  </si>
  <si>
    <t>GRAPAS STANDARD P/GRAPADORAS (26 X 6)</t>
  </si>
  <si>
    <t xml:space="preserve">CUCHARAS DESECHABLES </t>
  </si>
  <si>
    <t xml:space="preserve">CUCHILLOS DESECHABLES </t>
  </si>
  <si>
    <t>LIMPIADORAS DE MUEBLES P/ MADERA</t>
  </si>
  <si>
    <t>PLATOS DESECHABLES # 6</t>
  </si>
  <si>
    <t>TOALLITAS DE COCINA P/ LIMPIEZA</t>
  </si>
  <si>
    <t>CINTAS ADHESIVAS DOBLE CARA EN CAUCHO 3/4 X 90 DE 25 YARDA</t>
  </si>
  <si>
    <t>DISPENSADOR P/ CINTAS ADHESIVAS DE 1/2</t>
  </si>
  <si>
    <t>PAPEL TIMBRADO 8 1/2 X 14</t>
  </si>
  <si>
    <t>UHU BARRA 40G PEGAMENTO PASTA</t>
  </si>
  <si>
    <t>PAÑUELOS FAMILIA 30*4*10</t>
  </si>
  <si>
    <t>Oct-Dic 2019</t>
  </si>
  <si>
    <t xml:space="preserve">CLIPS GRANDE NO.2 </t>
  </si>
  <si>
    <t>CLIPS PEQUEÑOS NO.1</t>
  </si>
  <si>
    <t>DISPENSADOR PARA PAPEL BAÑO</t>
  </si>
  <si>
    <t xml:space="preserve">TINTA DE COLOR AZUL 2OZ </t>
  </si>
  <si>
    <t xml:space="preserve">TINTA DE COLOR NEGRA 2OZ </t>
  </si>
  <si>
    <t xml:space="preserve">TINTA DE COLOR ROJA 2OZ </t>
  </si>
  <si>
    <t>Ene-Mar 2018</t>
  </si>
  <si>
    <t>Ene-Mar 2017</t>
  </si>
  <si>
    <t>Ene-Mar 2020</t>
  </si>
  <si>
    <t>ESCOBAS PLÁSTICA LINDA CARIBE C/P</t>
  </si>
  <si>
    <t>CUBETAS PLÁSTICAS P/ TRAPEAR</t>
  </si>
  <si>
    <t>SUAPERS P/ LIMPIEZA FIBRA #32</t>
  </si>
  <si>
    <t>BOLÍGRAFOS VERDE</t>
  </si>
  <si>
    <t>SACA PUNTA ELÉCTRICOS</t>
  </si>
  <si>
    <t>BORRADORES DE GOMAS EN LECHE P-LÁPICES</t>
  </si>
  <si>
    <t>GANCHOS DE MACHOS Y HEMBRAS 70MM (PRESILLAS)</t>
  </si>
  <si>
    <t>LÁPIZ DE CARBÓN</t>
  </si>
  <si>
    <t>Jul-Sep 2020</t>
  </si>
  <si>
    <t>CINTAS DE TINTAS PARA MAQUINA SUMADORA</t>
  </si>
  <si>
    <t>RECOGEDORES DE BASURA -ARCOASEO</t>
  </si>
  <si>
    <t xml:space="preserve">ETIQUETAS P/CD Y DVD INK JET LASER (PEGA FAN) </t>
  </si>
  <si>
    <t>HUÉLLELOS DACTILARES TINTA NEGRA</t>
  </si>
  <si>
    <t>ROLLOS DE PAPEL P/ TURNO NUMÉRICO BLANCO 2000/1</t>
  </si>
  <si>
    <t>Unidad</t>
  </si>
  <si>
    <t>Pares</t>
  </si>
  <si>
    <t>Caja 100/1</t>
  </si>
  <si>
    <t>Caja 25/1</t>
  </si>
  <si>
    <t>Paqtes</t>
  </si>
  <si>
    <t>Caja 12/1</t>
  </si>
  <si>
    <t>Caja</t>
  </si>
  <si>
    <t>Caja 5000/1</t>
  </si>
  <si>
    <t>Resma 500/1</t>
  </si>
  <si>
    <t>ALCOHOL ISOPROPÍLICO AL 70%</t>
  </si>
  <si>
    <t>CAFÉ POLVO STO. DGO. 454 GR</t>
  </si>
  <si>
    <t>CARTUCHOS HP 46 NEGRO</t>
  </si>
  <si>
    <t xml:space="preserve">CHINCHETAS ALFILERES </t>
  </si>
  <si>
    <t>DISPENSADOR PARA GEL TRANSPARENTE</t>
  </si>
  <si>
    <t>ESPARADRAPO HOSPITALARIO DE 6 ROLLOS</t>
  </si>
  <si>
    <t>ESPIRALES PLÁSTICO RECTANGULARES/ 08 MM</t>
  </si>
  <si>
    <t>ESPIRALES PLÁSTICO RECTANGULARES/ 11 MM</t>
  </si>
  <si>
    <t>ESPIRALES PLÁSTICO RECTANGULARES/ 12 MM</t>
  </si>
  <si>
    <t>GEL ANTI-BACTERIAL, ELIMINA EL 99.9% (MANITAS LIMPIAS)</t>
  </si>
  <si>
    <t>GUANTES SUAVES DOMÉSTICOS</t>
  </si>
  <si>
    <t>LIBRETA RAYADA BLANCA 8 1/2 X 11 DE 50 PÁG.</t>
  </si>
  <si>
    <t>LIBRO RECORD 500 PÁG.</t>
  </si>
  <si>
    <t>MASCARILLAS QUIRÚRGICA DESECHABLES 3 TRIPE CAPA</t>
  </si>
  <si>
    <t>ROLLOS DE PAPEL P/ MAQUINA SUMADORA 2 1/4 DE 1 PARTE</t>
  </si>
  <si>
    <t>TERMÓMETROS DIGITAL PARA INDICACIÓN DE TEMPERATURA</t>
  </si>
  <si>
    <t>Oct-Dic 2018</t>
  </si>
  <si>
    <t>Oct-Dic 2020</t>
  </si>
  <si>
    <t>Gl</t>
  </si>
  <si>
    <t>Paqte 25/1</t>
  </si>
  <si>
    <t>Paqte 100/1</t>
  </si>
  <si>
    <t>Paqte 10/1</t>
  </si>
  <si>
    <t>Paqte 50/1</t>
  </si>
  <si>
    <t>Paqte 5 LBS</t>
  </si>
  <si>
    <t>Paqte 1 LBS</t>
  </si>
  <si>
    <t>Caja 130/1</t>
  </si>
  <si>
    <t>Caja 15/1</t>
  </si>
  <si>
    <t>AMBIENTADORES / RECARGABLES GLADE 6 OZ</t>
  </si>
  <si>
    <t>BAYGON EN SPRAY DE AGUA 8 OZ</t>
  </si>
  <si>
    <t>VASOS PLÁSTICO DESECHABLES #10</t>
  </si>
  <si>
    <t>VASOS PLÁSTICO DESECHABLES #07</t>
  </si>
  <si>
    <t>AZÚCAR CREMA PAQUETE DE 2.250 GR</t>
  </si>
  <si>
    <t>TERMÓMETROS ORAL DE VIDRIO</t>
  </si>
  <si>
    <t>BOTELLA DE TINTA EPSON 544 CYAN</t>
  </si>
  <si>
    <t>BOTELLA DE TINTA EPSON 544 MAGENTA</t>
  </si>
  <si>
    <t>BOTELLA DE TINTA EPSON 544 YELLOW</t>
  </si>
  <si>
    <t>BOTELLA DE TINTA EPSON 664 NEGRO</t>
  </si>
  <si>
    <t>BOTELLA DE TINTA EPSON 664 CYAN</t>
  </si>
  <si>
    <t>BOTELLA DE TINTA EPSON 664 MAGENTA</t>
  </si>
  <si>
    <t>BOTELLA DE TINTA EPSON 664 YELLOW</t>
  </si>
  <si>
    <t>BOTELLA DE TINTA HP 774 NEGRA</t>
  </si>
  <si>
    <t>CAJA ARCHIVO MUERTO P/ OFICIO LEGAL 10" X 12" X 15"</t>
  </si>
  <si>
    <t xml:space="preserve">CARPETAS CON 3 ARGOLLAS DE 5" </t>
  </si>
  <si>
    <t>CERAS HUMECTANTE PARA CONTAR</t>
  </si>
  <si>
    <t xml:space="preserve">COVER PARA ENCUADERNAR COLOR TRANSPARENTE </t>
  </si>
  <si>
    <t>COVER PARA ENCUADERNAR DE AZUL / COLORES</t>
  </si>
  <si>
    <t>FOLDERS DE BOLSILLOS SATINADO 8 1/2 X 11 COLOR VERDE</t>
  </si>
  <si>
    <t>FOLDERS DE BOLSILLOS SATINADO 8 1/2 X 11 COLOR BLANCO</t>
  </si>
  <si>
    <t>FOLDERS PARTITIONS 6 DIVISIONES 8 1/2 X 11 COLOR ROJOS</t>
  </si>
  <si>
    <t xml:space="preserve">GRAPAS 23 X 20'' </t>
  </si>
  <si>
    <t>GRAPAS 23 X 23''</t>
  </si>
  <si>
    <t>MARCADORES PARA PIZARRA MÁGICA COLOR NEGRA</t>
  </si>
  <si>
    <t>PAPEL FOTOGRÁFICO SATINADO 8 1/2 X 11</t>
  </si>
  <si>
    <t>ROLLOS DE PAPEL 80 X 80MM, TÉRMICO 3 1/8 P/ SISTEMA DE TURNO DIDA C.</t>
  </si>
  <si>
    <t>TÓNER BLACK CANNON 119 BLACK</t>
  </si>
  <si>
    <t>TÓNER BLACK CANNON 126 BLACK</t>
  </si>
  <si>
    <t>TÓNER DE RECARGA BLACK HP 103AD - W1103AD</t>
  </si>
  <si>
    <t>TÓNER BLACK HP 230-A / 30-A</t>
  </si>
  <si>
    <t>Ene-Mar 2021</t>
  </si>
  <si>
    <t>Jul-Sep 2015</t>
  </si>
  <si>
    <t xml:space="preserve">Jul-Sep 2017 </t>
  </si>
  <si>
    <t>Caja 10/1</t>
  </si>
  <si>
    <t>Caja 12/2</t>
  </si>
  <si>
    <t xml:space="preserve">Unidad </t>
  </si>
  <si>
    <t>caja 6/1</t>
  </si>
  <si>
    <t>Fardo 20/1</t>
  </si>
  <si>
    <t>paqtes</t>
  </si>
  <si>
    <t>PAPEL DE HILO COLOR CREMA 8 1/2 X 11 T/ CARTA</t>
  </si>
  <si>
    <t>SEPARADORES P/ CARPETAS TRANSPARENTES</t>
  </si>
  <si>
    <t>SEPARADORES P/ CARPETAS ALFANUMÉRICO</t>
  </si>
  <si>
    <t>SEPARADORES P/ CARPETAS ALFABÉTICO</t>
  </si>
  <si>
    <t>CLIPS BILLETERO MED. 32MM</t>
  </si>
  <si>
    <t>LASER &amp; INK JET LABELS COLOR AMARILLO</t>
  </si>
  <si>
    <t>LASER &amp; INK JET LABELS COLOR NEGRA</t>
  </si>
  <si>
    <t>TABLA DE SOPORTE C/GANCHO 8 1/2 X 14 EN MADERA</t>
  </si>
  <si>
    <t>FOLDERS LEGALES 9 X 15</t>
  </si>
  <si>
    <t xml:space="preserve">FUNDAS DE COLOR BLANCAS 17 X 22 </t>
  </si>
  <si>
    <t>GUANTES DE LÁTEX AZULES DE NITRILÓN</t>
  </si>
  <si>
    <t>CUADERNOS DE CÁTEDRAS A4 EN PVC 3/5 DIV. 8 1/2 X 11, 360 PÁG.</t>
  </si>
  <si>
    <t>FOLDERS  NORMALES 9 X 12</t>
  </si>
  <si>
    <t>RESMA PAPEL 8 ½ X 11 BOND T/ CARTA</t>
  </si>
  <si>
    <t>CLIPS BILLETERO MED. 25MM</t>
  </si>
  <si>
    <t>PORTA REVISTA METAL, NEGRO</t>
  </si>
  <si>
    <t>PORTA LÁPICES</t>
  </si>
  <si>
    <t>PORTA CLIP PLATICO MAGNETO</t>
  </si>
  <si>
    <t xml:space="preserve">BOLÍGRAFOS AZULES </t>
  </si>
  <si>
    <t>CLIPS BILLETERO PEQUEÑOS. 19MM</t>
  </si>
  <si>
    <t>BOLÍGRAFOS ROJOS</t>
  </si>
  <si>
    <t xml:space="preserve">FUNDAS DE COLOR NEGRAS  23 X 27 X 33, CALIBRE 70 </t>
  </si>
  <si>
    <t>VASOS PLÁSTICO DESECHABLES #03</t>
  </si>
  <si>
    <t>FUNDAS DE COLOR NEGRAS  35 X 53, CALIBRE 120 / 55 GLS</t>
  </si>
  <si>
    <t>GRAPADORAS STANDARD PEQUEÑAS (26 X 6)</t>
  </si>
  <si>
    <t>SACA GRAPAS</t>
  </si>
  <si>
    <t>GOMITAS O GOMILLAS ELÁSTICAS (BANDITA DE GOMAS)</t>
  </si>
  <si>
    <t>PILAS DURACEL AAA</t>
  </si>
  <si>
    <t xml:space="preserve">CARPETAS CON 3 ARGOLLAS DE 3" </t>
  </si>
  <si>
    <t>RESALTADORES COLOR ROSADO</t>
  </si>
  <si>
    <t>RESALTADORES COLOR VERDE</t>
  </si>
  <si>
    <t>REGLAS PLÁSTICAS DE 12"</t>
  </si>
  <si>
    <t xml:space="preserve">DISPENSADOR P/ CINTAS ADHESIVAS DE 3/4 </t>
  </si>
  <si>
    <t xml:space="preserve">CARPETAS CON 3 ARGOLLAS DE 2" </t>
  </si>
  <si>
    <t>CORRECTOR LIQUIDO LIQUIPAPEL</t>
  </si>
  <si>
    <t>COVERS LAMINADO PLÁSTICO TRANSPARENTE PARA HOJAS 8 1/2X11</t>
  </si>
  <si>
    <t>PILAS DURACEL AA</t>
  </si>
  <si>
    <t>CINTAS ADHESIVAS PQÑAS DE 3/4 X 36'' (19 MM)</t>
  </si>
  <si>
    <t>CINTAS ADHESIVAS PQÑAS PEGAFA DE 1/2'' (25 YARDA)</t>
  </si>
  <si>
    <t>CINTAS ADHESIVAS GRANDES DE 2 X 90''</t>
  </si>
  <si>
    <t xml:space="preserve">MARCADORES PERMANENTE NEGRO </t>
  </si>
  <si>
    <t>RESALTADORES COLOR AMARILLO</t>
  </si>
  <si>
    <t>KIT DE ALFOMBRA SATIRIZANTE</t>
  </si>
  <si>
    <t>DISPENSADOR PARA VASOS CÓNICOS</t>
  </si>
  <si>
    <t>ESPONJA SALVA UÑAS PARA FREGAR 4.5X7X14</t>
  </si>
  <si>
    <t xml:space="preserve">DISPENSADOR PARA PAPEL TOALLA BLANCA </t>
  </si>
  <si>
    <t>FOLDERS PENDA FLEX 9 X 12</t>
  </si>
  <si>
    <t>AGUA DE BOTELLITAS</t>
  </si>
  <si>
    <t>ZAFACONES DE OFICINAS PEQUEÑOS</t>
  </si>
  <si>
    <t>TÉ FRIO LIMÓN (LATA)</t>
  </si>
  <si>
    <t>Pies</t>
  </si>
  <si>
    <t>Gls</t>
  </si>
  <si>
    <t>BANDERITAS / FLECHEROS</t>
  </si>
  <si>
    <t>CONTACTOR 30A-2P-24 VOLTS</t>
  </si>
  <si>
    <t>GAS MAP-PRO EN TANQUE 14.1OZ</t>
  </si>
  <si>
    <t>LÁMPARA LED 6</t>
  </si>
  <si>
    <t>MEZCLADORA FREGADERO OCEAN</t>
  </si>
  <si>
    <t>PANEL LED 2X2 6400K, 85-265V</t>
  </si>
  <si>
    <t>PINTURA ACRÍLICA COLOR BLANCO 01</t>
  </si>
  <si>
    <t>PINTURA ACRÍLICA COLOR VERDE</t>
  </si>
  <si>
    <t>PROTECTOR DE TOMA DE CORRIENTE CONTRA AMBIENTE</t>
  </si>
  <si>
    <t>SIFÓN DE LAVA MANOS 1-1/4</t>
  </si>
  <si>
    <t>SIFÓN FLEXIBLE VERO 1-1/2</t>
  </si>
  <si>
    <t>SOBRES MANILA 10 X 13 (GRANDE)</t>
  </si>
  <si>
    <t>TUBERÍA LIQUID TIGHT 3/4</t>
  </si>
  <si>
    <t>TUBO LED 18W 6500K, 85-265V</t>
  </si>
  <si>
    <t>Abr-Jun 2020</t>
  </si>
  <si>
    <t>Abr-Jun 2021</t>
  </si>
  <si>
    <t>INVENTARIO DE ALMACEN ENERO - MARZO 2021</t>
  </si>
  <si>
    <t>SOBRES MANILA 6 1/2 X 9 1/2 (PEQUEÑO)</t>
  </si>
  <si>
    <t>SOBRES MANILA 9 X 12 (MEDIANO)</t>
  </si>
  <si>
    <t>CANDADO YALE 70 MM</t>
  </si>
  <si>
    <t>GUANTES FIBRA DE VIDRIO GRIS IRON HAND</t>
  </si>
  <si>
    <t>FOLDERS PARTITIONS 6 DIVISIONES 8 1/2 X 11 COLOR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</si>
</sst>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39" fontId="3" fillId="2" borderId="1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39" fontId="3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9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164" fontId="3" fillId="2" borderId="1" xfId="1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000000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/m/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m/d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647701</xdr:colOff>
      <xdr:row>1</xdr:row>
      <xdr:rowOff>38101</xdr:rowOff>
    </xdr:from>
    <xdr:to>
      <xdr:col>7</xdr:col>
      <xdr:colOff>857251</xdr:colOff>
      <xdr:row>4</xdr:row>
      <xdr:rowOff>171451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9867901" y="228601"/>
          <a:ext cx="116205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6:H158" totalsRowShown="0" headerRowDxfId="10" headerRowBorderDxfId="9" tableBorderDxfId="8" totalsRowBorderDxfId="7">
  <autoFilter ref="B6:H158"/>
  <sortState ref="B7:H158">
    <sortCondition ref="C6:C158"/>
  </sortState>
  <tableColumns count="7">
    <tableColumn id="1" name="PERIODO ADQUISICION" dataDxfId="6"/>
    <tableColumn id="2" name="FECHA REGISTRO" dataDxfId="0" dataCellStyle="Moneda"/>
    <tableColumn id="3" name="CODIGO" dataDxfId="5"/>
    <tableColumn id="4" name="NOMBRE DEL ARTICULO" dataDxfId="4"/>
    <tableColumn id="5" name="MEDIDA" dataDxfId="3"/>
    <tableColumn id="6" name="VALORES" dataDxfId="2" dataCellStyle="Moneda"/>
    <tableColumn id="7" name="EXISTENCIA" dataDxfId="1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58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D9" sqref="D9"/>
    </sheetView>
  </sheetViews>
  <sheetFormatPr baseColWidth="10" defaultColWidth="11.42578125" defaultRowHeight="15" x14ac:dyDescent="0.25"/>
  <cols>
    <col min="1" max="1" width="0.7109375" style="1" customWidth="1"/>
    <col min="2" max="2" width="23.7109375" style="2" customWidth="1"/>
    <col min="3" max="3" width="18" style="2" customWidth="1"/>
    <col min="4" max="4" width="36.5703125" style="2" customWidth="1"/>
    <col min="5" max="5" width="45" style="1" bestFit="1" customWidth="1"/>
    <col min="6" max="6" width="14.28515625" style="1" bestFit="1" customWidth="1"/>
    <col min="7" max="7" width="14.28515625" style="1" customWidth="1"/>
    <col min="8" max="8" width="13.28515625" style="1" customWidth="1"/>
    <col min="9" max="16384" width="11.42578125" style="1"/>
  </cols>
  <sheetData>
    <row r="2" spans="2:8" x14ac:dyDescent="0.25">
      <c r="B2" s="17" t="s">
        <v>3</v>
      </c>
      <c r="C2" s="18"/>
      <c r="D2" s="18"/>
      <c r="E2" s="18"/>
      <c r="F2" s="18"/>
      <c r="G2" s="18"/>
      <c r="H2" s="19"/>
    </row>
    <row r="3" spans="2:8" x14ac:dyDescent="0.25">
      <c r="B3" s="20" t="s">
        <v>198</v>
      </c>
      <c r="C3" s="21"/>
      <c r="D3" s="21"/>
      <c r="E3" s="21"/>
      <c r="F3" s="21"/>
      <c r="G3" s="21"/>
      <c r="H3" s="22"/>
    </row>
    <row r="4" spans="2:8" x14ac:dyDescent="0.25">
      <c r="B4" s="11"/>
      <c r="C4" s="12"/>
      <c r="D4" s="12"/>
      <c r="E4" s="12"/>
      <c r="F4" s="12"/>
      <c r="G4" s="12"/>
      <c r="H4" s="13"/>
    </row>
    <row r="5" spans="2:8" x14ac:dyDescent="0.25">
      <c r="B5" s="23"/>
      <c r="C5" s="24"/>
      <c r="D5" s="24"/>
      <c r="E5" s="24"/>
      <c r="F5" s="24"/>
      <c r="G5" s="24"/>
      <c r="H5" s="25"/>
    </row>
    <row r="6" spans="2:8" x14ac:dyDescent="0.25">
      <c r="B6" s="4" t="s">
        <v>4</v>
      </c>
      <c r="C6" s="5" t="s">
        <v>1</v>
      </c>
      <c r="D6" s="5" t="s">
        <v>11</v>
      </c>
      <c r="E6" s="9" t="s">
        <v>2</v>
      </c>
      <c r="F6" s="5" t="s">
        <v>0</v>
      </c>
      <c r="G6" s="5" t="s">
        <v>17</v>
      </c>
      <c r="H6" s="6" t="s">
        <v>5</v>
      </c>
    </row>
    <row r="7" spans="2:8" x14ac:dyDescent="0.25">
      <c r="B7" s="7" t="s">
        <v>7</v>
      </c>
      <c r="C7" s="26">
        <v>42120</v>
      </c>
      <c r="D7" s="15">
        <v>44101805</v>
      </c>
      <c r="E7" s="10" t="s">
        <v>49</v>
      </c>
      <c r="F7" s="16" t="s">
        <v>54</v>
      </c>
      <c r="G7" s="3">
        <v>26</v>
      </c>
      <c r="H7" s="8">
        <f>170-1</f>
        <v>169</v>
      </c>
    </row>
    <row r="8" spans="2:8" x14ac:dyDescent="0.25">
      <c r="B8" s="7" t="s">
        <v>7</v>
      </c>
      <c r="C8" s="26">
        <v>42120</v>
      </c>
      <c r="D8" s="15">
        <v>44103504</v>
      </c>
      <c r="E8" s="10" t="s">
        <v>69</v>
      </c>
      <c r="F8" s="16" t="s">
        <v>56</v>
      </c>
      <c r="G8" s="3">
        <v>224.2</v>
      </c>
      <c r="H8" s="8">
        <f>25-1</f>
        <v>24</v>
      </c>
    </row>
    <row r="9" spans="2:8" x14ac:dyDescent="0.25">
      <c r="B9" s="7" t="s">
        <v>7</v>
      </c>
      <c r="C9" s="26">
        <v>42120</v>
      </c>
      <c r="D9" s="15">
        <v>44103504</v>
      </c>
      <c r="E9" s="10" t="s">
        <v>70</v>
      </c>
      <c r="F9" s="16" t="s">
        <v>56</v>
      </c>
      <c r="G9" s="3">
        <v>224.2</v>
      </c>
      <c r="H9" s="8">
        <f>9-1</f>
        <v>8</v>
      </c>
    </row>
    <row r="10" spans="2:8" x14ac:dyDescent="0.25">
      <c r="B10" s="7" t="s">
        <v>7</v>
      </c>
      <c r="C10" s="26">
        <v>42120</v>
      </c>
      <c r="D10" s="15">
        <v>44103504</v>
      </c>
      <c r="E10" s="10" t="s">
        <v>71</v>
      </c>
      <c r="F10" s="16" t="s">
        <v>56</v>
      </c>
      <c r="G10" s="3">
        <v>224.2</v>
      </c>
      <c r="H10" s="8">
        <v>11</v>
      </c>
    </row>
    <row r="11" spans="2:8" x14ac:dyDescent="0.25">
      <c r="B11" s="7" t="s">
        <v>7</v>
      </c>
      <c r="C11" s="26">
        <v>42120</v>
      </c>
      <c r="D11" s="15">
        <v>44122023</v>
      </c>
      <c r="E11" s="10" t="s">
        <v>131</v>
      </c>
      <c r="F11" s="16" t="s">
        <v>58</v>
      </c>
      <c r="G11" s="3">
        <v>278.48</v>
      </c>
      <c r="H11" s="8">
        <f>48-2-1-1-1-1-2-5-1</f>
        <v>34</v>
      </c>
    </row>
    <row r="12" spans="2:8" x14ac:dyDescent="0.25">
      <c r="B12" s="7" t="s">
        <v>7</v>
      </c>
      <c r="C12" s="26">
        <v>42120</v>
      </c>
      <c r="D12" s="15">
        <v>14111512</v>
      </c>
      <c r="E12" s="10" t="s">
        <v>130</v>
      </c>
      <c r="F12" s="16" t="s">
        <v>62</v>
      </c>
      <c r="G12" s="3">
        <v>389.4</v>
      </c>
      <c r="H12" s="8">
        <f>18-2-2-1-1-5-2-1</f>
        <v>4</v>
      </c>
    </row>
    <row r="13" spans="2:8" x14ac:dyDescent="0.25">
      <c r="B13" s="7" t="s">
        <v>7</v>
      </c>
      <c r="C13" s="26">
        <v>42120</v>
      </c>
      <c r="D13" s="15">
        <v>44122005</v>
      </c>
      <c r="E13" s="10" t="s">
        <v>107</v>
      </c>
      <c r="F13" s="16" t="s">
        <v>83</v>
      </c>
      <c r="G13" s="3" t="s">
        <v>6</v>
      </c>
      <c r="H13" s="8">
        <f>9-1</f>
        <v>8</v>
      </c>
    </row>
    <row r="14" spans="2:8" x14ac:dyDescent="0.25">
      <c r="B14" s="7" t="s">
        <v>7</v>
      </c>
      <c r="C14" s="26">
        <v>42120</v>
      </c>
      <c r="D14" s="15">
        <v>44122011</v>
      </c>
      <c r="E14" s="10" t="s">
        <v>199</v>
      </c>
      <c r="F14" s="16" t="s">
        <v>54</v>
      </c>
      <c r="G14" s="3" t="s">
        <v>6</v>
      </c>
      <c r="H14" s="8">
        <f>1000-10-10-50-395-100</f>
        <v>435</v>
      </c>
    </row>
    <row r="15" spans="2:8" x14ac:dyDescent="0.25">
      <c r="B15" s="14" t="s">
        <v>122</v>
      </c>
      <c r="C15" s="26">
        <v>42257</v>
      </c>
      <c r="D15" s="15">
        <v>44122020</v>
      </c>
      <c r="E15" s="10" t="s">
        <v>133</v>
      </c>
      <c r="F15" s="16" t="s">
        <v>58</v>
      </c>
      <c r="G15" s="3">
        <v>22</v>
      </c>
      <c r="H15" s="8">
        <f>17-3</f>
        <v>14</v>
      </c>
    </row>
    <row r="16" spans="2:8" x14ac:dyDescent="0.25">
      <c r="B16" s="14" t="s">
        <v>123</v>
      </c>
      <c r="C16" s="26">
        <v>42257</v>
      </c>
      <c r="D16" s="15">
        <v>44103126</v>
      </c>
      <c r="E16" s="10" t="s">
        <v>12</v>
      </c>
      <c r="F16" s="16" t="s">
        <v>54</v>
      </c>
      <c r="G16" s="3">
        <v>610</v>
      </c>
      <c r="H16" s="8">
        <f>5</f>
        <v>5</v>
      </c>
    </row>
    <row r="17" spans="2:8" x14ac:dyDescent="0.25">
      <c r="B17" s="14" t="s">
        <v>122</v>
      </c>
      <c r="C17" s="26">
        <v>42257</v>
      </c>
      <c r="D17" s="15">
        <v>44122021</v>
      </c>
      <c r="E17" s="10" t="s">
        <v>132</v>
      </c>
      <c r="F17" s="16" t="s">
        <v>58</v>
      </c>
      <c r="G17" s="3" t="s">
        <v>6</v>
      </c>
      <c r="H17" s="8">
        <v>4</v>
      </c>
    </row>
    <row r="18" spans="2:8" x14ac:dyDescent="0.25">
      <c r="B18" s="14" t="s">
        <v>9</v>
      </c>
      <c r="C18" s="26">
        <v>42440</v>
      </c>
      <c r="D18" s="15">
        <v>47130200</v>
      </c>
      <c r="E18" s="10" t="s">
        <v>15</v>
      </c>
      <c r="F18" s="16" t="s">
        <v>54</v>
      </c>
      <c r="G18" s="3">
        <v>41.3</v>
      </c>
      <c r="H18" s="8">
        <f>6-2-2</f>
        <v>2</v>
      </c>
    </row>
    <row r="19" spans="2:8" x14ac:dyDescent="0.25">
      <c r="B19" s="14" t="s">
        <v>9</v>
      </c>
      <c r="C19" s="26">
        <v>42440</v>
      </c>
      <c r="D19" s="15">
        <v>47120301</v>
      </c>
      <c r="E19" s="10" t="s">
        <v>50</v>
      </c>
      <c r="F19" s="16" t="s">
        <v>54</v>
      </c>
      <c r="G19" s="3">
        <v>69.62</v>
      </c>
      <c r="H19" s="8">
        <f>5-1-2</f>
        <v>2</v>
      </c>
    </row>
    <row r="20" spans="2:8" x14ac:dyDescent="0.25">
      <c r="B20" s="14" t="s">
        <v>9</v>
      </c>
      <c r="C20" s="26">
        <v>42440</v>
      </c>
      <c r="D20" s="15">
        <v>47130601</v>
      </c>
      <c r="E20" s="10" t="s">
        <v>33</v>
      </c>
      <c r="F20" s="16" t="s">
        <v>54</v>
      </c>
      <c r="G20" s="3">
        <v>539.26</v>
      </c>
      <c r="H20" s="8">
        <v>7</v>
      </c>
    </row>
    <row r="21" spans="2:8" x14ac:dyDescent="0.25">
      <c r="B21" s="14" t="s">
        <v>9</v>
      </c>
      <c r="C21" s="26">
        <v>42459</v>
      </c>
      <c r="D21" s="15">
        <v>44122106</v>
      </c>
      <c r="E21" s="10" t="s">
        <v>66</v>
      </c>
      <c r="F21" s="16" t="s">
        <v>60</v>
      </c>
      <c r="G21" s="3">
        <v>24.87</v>
      </c>
      <c r="H21" s="8">
        <f>66-2</f>
        <v>64</v>
      </c>
    </row>
    <row r="22" spans="2:8" x14ac:dyDescent="0.25">
      <c r="B22" s="7" t="s">
        <v>8</v>
      </c>
      <c r="C22" s="26">
        <v>42486</v>
      </c>
      <c r="D22" s="15">
        <v>45101508</v>
      </c>
      <c r="E22" s="10" t="s">
        <v>14</v>
      </c>
      <c r="F22" s="16" t="s">
        <v>54</v>
      </c>
      <c r="G22" s="3">
        <v>210</v>
      </c>
      <c r="H22" s="8">
        <f>2-1</f>
        <v>1</v>
      </c>
    </row>
    <row r="23" spans="2:8" x14ac:dyDescent="0.25">
      <c r="B23" s="7" t="s">
        <v>10</v>
      </c>
      <c r="C23" s="26">
        <v>42891</v>
      </c>
      <c r="D23" s="15">
        <v>47130506</v>
      </c>
      <c r="E23" s="10" t="s">
        <v>22</v>
      </c>
      <c r="F23" s="16" t="s">
        <v>54</v>
      </c>
      <c r="G23" s="3">
        <v>195</v>
      </c>
      <c r="H23" s="8">
        <f>6-5</f>
        <v>1</v>
      </c>
    </row>
    <row r="24" spans="2:8" x14ac:dyDescent="0.25">
      <c r="B24" s="7" t="s">
        <v>10</v>
      </c>
      <c r="C24" s="26">
        <v>42891</v>
      </c>
      <c r="D24" s="15">
        <v>47130800</v>
      </c>
      <c r="E24" s="10" t="s">
        <v>16</v>
      </c>
      <c r="F24" s="16" t="s">
        <v>54</v>
      </c>
      <c r="G24" s="3">
        <v>208.86</v>
      </c>
      <c r="H24" s="8">
        <f>10-2-2-3-1</f>
        <v>2</v>
      </c>
    </row>
    <row r="25" spans="2:8" x14ac:dyDescent="0.25">
      <c r="B25" s="14" t="s">
        <v>122</v>
      </c>
      <c r="C25" s="26">
        <v>42935</v>
      </c>
      <c r="D25" s="15">
        <v>44121615</v>
      </c>
      <c r="E25" s="10" t="s">
        <v>18</v>
      </c>
      <c r="F25" s="16" t="s">
        <v>54</v>
      </c>
      <c r="G25" s="3">
        <v>650</v>
      </c>
      <c r="H25" s="8">
        <f>1</f>
        <v>1</v>
      </c>
    </row>
    <row r="26" spans="2:8" x14ac:dyDescent="0.25">
      <c r="B26" s="14" t="s">
        <v>38</v>
      </c>
      <c r="C26" s="26">
        <v>43208</v>
      </c>
      <c r="D26" s="15">
        <v>44111612</v>
      </c>
      <c r="E26" s="10" t="s">
        <v>134</v>
      </c>
      <c r="F26" s="16" t="s">
        <v>59</v>
      </c>
      <c r="G26" s="3">
        <v>21.61</v>
      </c>
      <c r="H26" s="8">
        <f>40-3-1-5-1-3-2-1-3-2-1-2-3</f>
        <v>13</v>
      </c>
    </row>
    <row r="27" spans="2:8" x14ac:dyDescent="0.25">
      <c r="B27" s="14" t="s">
        <v>37</v>
      </c>
      <c r="C27" s="26">
        <v>43209</v>
      </c>
      <c r="D27" s="15">
        <v>12181501</v>
      </c>
      <c r="E27" s="10" t="s">
        <v>106</v>
      </c>
      <c r="F27" s="16" t="s">
        <v>54</v>
      </c>
      <c r="G27" s="3">
        <v>30</v>
      </c>
      <c r="H27" s="8">
        <f>47-12-1-3</f>
        <v>31</v>
      </c>
    </row>
    <row r="28" spans="2:8" x14ac:dyDescent="0.25">
      <c r="B28" s="14" t="s">
        <v>37</v>
      </c>
      <c r="C28" s="26">
        <v>43209</v>
      </c>
      <c r="D28" s="15">
        <v>44121721</v>
      </c>
      <c r="E28" s="10" t="s">
        <v>13</v>
      </c>
      <c r="F28" s="16" t="s">
        <v>59</v>
      </c>
      <c r="G28" s="3">
        <v>300</v>
      </c>
      <c r="H28" s="8">
        <f>31-1-1-6-2-1-1-3-1-8</f>
        <v>7</v>
      </c>
    </row>
    <row r="29" spans="2:8" x14ac:dyDescent="0.25">
      <c r="B29" s="14" t="s">
        <v>37</v>
      </c>
      <c r="C29" s="26">
        <v>43209</v>
      </c>
      <c r="D29" s="15">
        <v>55121503</v>
      </c>
      <c r="E29" s="10" t="s">
        <v>51</v>
      </c>
      <c r="F29" s="16" t="s">
        <v>60</v>
      </c>
      <c r="G29" s="3" t="s">
        <v>6</v>
      </c>
      <c r="H29" s="8">
        <v>8</v>
      </c>
    </row>
    <row r="30" spans="2:8" x14ac:dyDescent="0.25">
      <c r="B30" s="14" t="s">
        <v>37</v>
      </c>
      <c r="C30" s="26">
        <v>43209</v>
      </c>
      <c r="D30" s="15">
        <v>55121504</v>
      </c>
      <c r="E30" s="10" t="s">
        <v>135</v>
      </c>
      <c r="F30" s="16" t="s">
        <v>83</v>
      </c>
      <c r="G30" s="3" t="s">
        <v>6</v>
      </c>
      <c r="H30" s="8">
        <v>8</v>
      </c>
    </row>
    <row r="31" spans="2:8" x14ac:dyDescent="0.25">
      <c r="B31" s="14" t="s">
        <v>37</v>
      </c>
      <c r="C31" s="26">
        <v>43209</v>
      </c>
      <c r="D31" s="15">
        <v>55121504</v>
      </c>
      <c r="E31" s="10" t="s">
        <v>136</v>
      </c>
      <c r="F31" s="16" t="s">
        <v>83</v>
      </c>
      <c r="G31" s="3" t="s">
        <v>6</v>
      </c>
      <c r="H31" s="8">
        <f>22-3</f>
        <v>19</v>
      </c>
    </row>
    <row r="32" spans="2:8" x14ac:dyDescent="0.25">
      <c r="B32" s="14" t="s">
        <v>79</v>
      </c>
      <c r="C32" s="26">
        <v>43475</v>
      </c>
      <c r="D32" s="15">
        <v>47130401</v>
      </c>
      <c r="E32" s="10" t="s">
        <v>21</v>
      </c>
      <c r="F32" s="16" t="s">
        <v>82</v>
      </c>
      <c r="G32" s="3">
        <v>24.78</v>
      </c>
      <c r="H32" s="8">
        <f>68-24</f>
        <v>44</v>
      </c>
    </row>
    <row r="33" spans="2:8" x14ac:dyDescent="0.25">
      <c r="B33" s="14" t="s">
        <v>79</v>
      </c>
      <c r="C33" s="26">
        <v>43476</v>
      </c>
      <c r="D33" s="15">
        <v>44122108</v>
      </c>
      <c r="E33" s="10" t="s">
        <v>19</v>
      </c>
      <c r="F33" s="16" t="s">
        <v>61</v>
      </c>
      <c r="G33" s="3">
        <v>31.02</v>
      </c>
      <c r="H33" s="8">
        <f>39-2-10-5-1-1-4-1-2-5-1-1-2-3+2</f>
        <v>3</v>
      </c>
    </row>
    <row r="34" spans="2:8" x14ac:dyDescent="0.25">
      <c r="B34" s="14" t="s">
        <v>79</v>
      </c>
      <c r="C34" s="26">
        <v>43476</v>
      </c>
      <c r="D34" s="15">
        <v>44122108</v>
      </c>
      <c r="E34" s="10" t="s">
        <v>112</v>
      </c>
      <c r="F34" s="16" t="s">
        <v>60</v>
      </c>
      <c r="G34" s="3" t="s">
        <v>6</v>
      </c>
      <c r="H34" s="8">
        <v>25</v>
      </c>
    </row>
    <row r="35" spans="2:8" x14ac:dyDescent="0.25">
      <c r="B35" s="14" t="s">
        <v>79</v>
      </c>
      <c r="C35" s="26">
        <v>43476</v>
      </c>
      <c r="D35" s="15">
        <v>44122108</v>
      </c>
      <c r="E35" s="10" t="s">
        <v>113</v>
      </c>
      <c r="F35" s="16" t="s">
        <v>60</v>
      </c>
      <c r="G35" s="3" t="s">
        <v>6</v>
      </c>
      <c r="H35" s="8">
        <f>7-1</f>
        <v>6</v>
      </c>
    </row>
    <row r="36" spans="2:8" x14ac:dyDescent="0.25">
      <c r="B36" s="14" t="s">
        <v>48</v>
      </c>
      <c r="C36" s="26">
        <v>43663</v>
      </c>
      <c r="D36" s="15">
        <v>44121709</v>
      </c>
      <c r="E36" s="10" t="s">
        <v>114</v>
      </c>
      <c r="F36" s="16" t="s">
        <v>54</v>
      </c>
      <c r="G36" s="3">
        <v>12</v>
      </c>
      <c r="H36" s="8">
        <f>19-2-2-4-3-1</f>
        <v>7</v>
      </c>
    </row>
    <row r="37" spans="2:8" x14ac:dyDescent="0.25">
      <c r="B37" s="14" t="s">
        <v>79</v>
      </c>
      <c r="C37" s="26">
        <v>43812</v>
      </c>
      <c r="D37" s="15">
        <v>31211508</v>
      </c>
      <c r="E37" s="10" t="s">
        <v>188</v>
      </c>
      <c r="F37" s="16" t="s">
        <v>181</v>
      </c>
      <c r="G37" s="3" t="s">
        <v>6</v>
      </c>
      <c r="H37" s="8">
        <v>10</v>
      </c>
    </row>
    <row r="38" spans="2:8" x14ac:dyDescent="0.25">
      <c r="B38" s="14" t="s">
        <v>30</v>
      </c>
      <c r="C38" s="26">
        <v>43818</v>
      </c>
      <c r="D38" s="15">
        <v>47120200</v>
      </c>
      <c r="E38" s="10" t="s">
        <v>41</v>
      </c>
      <c r="F38" s="16" t="s">
        <v>54</v>
      </c>
      <c r="G38" s="3">
        <v>354</v>
      </c>
      <c r="H38" s="8">
        <f>5-1-1-1-1</f>
        <v>1</v>
      </c>
    </row>
    <row r="39" spans="2:8" x14ac:dyDescent="0.25">
      <c r="B39" s="14" t="s">
        <v>30</v>
      </c>
      <c r="C39" s="26">
        <v>43818</v>
      </c>
      <c r="D39" s="15">
        <v>47130000</v>
      </c>
      <c r="E39" s="10" t="s">
        <v>90</v>
      </c>
      <c r="F39" s="16" t="s">
        <v>54</v>
      </c>
      <c r="G39" s="3">
        <v>596</v>
      </c>
      <c r="H39" s="8">
        <f>10-2-1-1-1</f>
        <v>5</v>
      </c>
    </row>
    <row r="40" spans="2:8" x14ac:dyDescent="0.25">
      <c r="B40" s="14" t="s">
        <v>30</v>
      </c>
      <c r="C40" s="26">
        <v>43819</v>
      </c>
      <c r="D40" s="15">
        <v>47130508</v>
      </c>
      <c r="E40" s="10" t="s">
        <v>29</v>
      </c>
      <c r="F40" s="16" t="s">
        <v>84</v>
      </c>
      <c r="G40" s="3">
        <v>74.86</v>
      </c>
      <c r="H40" s="8">
        <v>16</v>
      </c>
    </row>
    <row r="41" spans="2:8" x14ac:dyDescent="0.25">
      <c r="B41" s="14" t="s">
        <v>30</v>
      </c>
      <c r="C41" s="26">
        <v>43819</v>
      </c>
      <c r="D41" s="15">
        <v>31162610</v>
      </c>
      <c r="E41" s="10" t="s">
        <v>137</v>
      </c>
      <c r="F41" s="16" t="s">
        <v>54</v>
      </c>
      <c r="G41" s="3">
        <v>86.19</v>
      </c>
      <c r="H41" s="8">
        <f>4-2</f>
        <v>2</v>
      </c>
    </row>
    <row r="42" spans="2:8" x14ac:dyDescent="0.25">
      <c r="B42" s="14" t="s">
        <v>30</v>
      </c>
      <c r="C42" s="26">
        <v>43819</v>
      </c>
      <c r="D42" s="15">
        <v>31211501</v>
      </c>
      <c r="E42" s="10" t="s">
        <v>189</v>
      </c>
      <c r="F42" s="16" t="s">
        <v>181</v>
      </c>
      <c r="G42" s="3" t="s">
        <v>6</v>
      </c>
      <c r="H42" s="8">
        <v>3</v>
      </c>
    </row>
    <row r="43" spans="2:8" x14ac:dyDescent="0.25">
      <c r="B43" s="14" t="s">
        <v>30</v>
      </c>
      <c r="C43" s="26">
        <v>43819</v>
      </c>
      <c r="D43" s="15">
        <v>39121207</v>
      </c>
      <c r="E43" s="10" t="s">
        <v>190</v>
      </c>
      <c r="F43" s="16" t="s">
        <v>54</v>
      </c>
      <c r="G43" s="3" t="s">
        <v>6</v>
      </c>
      <c r="H43" s="8">
        <v>9</v>
      </c>
    </row>
    <row r="44" spans="2:8" x14ac:dyDescent="0.25">
      <c r="B44" s="14" t="s">
        <v>30</v>
      </c>
      <c r="C44" s="26">
        <v>43825</v>
      </c>
      <c r="D44" s="15">
        <v>44121904</v>
      </c>
      <c r="E44" s="10" t="s">
        <v>34</v>
      </c>
      <c r="F44" s="16" t="s">
        <v>54</v>
      </c>
      <c r="G44" s="3">
        <v>31.86</v>
      </c>
      <c r="H44" s="8">
        <f>6-1-1</f>
        <v>4</v>
      </c>
    </row>
    <row r="45" spans="2:8" x14ac:dyDescent="0.25">
      <c r="B45" s="14" t="s">
        <v>30</v>
      </c>
      <c r="C45" s="26">
        <v>43825</v>
      </c>
      <c r="D45" s="15">
        <v>44121904</v>
      </c>
      <c r="E45" s="10" t="s">
        <v>35</v>
      </c>
      <c r="F45" s="16" t="s">
        <v>54</v>
      </c>
      <c r="G45" s="3">
        <v>31.86</v>
      </c>
      <c r="H45" s="8">
        <v>6</v>
      </c>
    </row>
    <row r="46" spans="2:8" x14ac:dyDescent="0.25">
      <c r="B46" s="14" t="s">
        <v>30</v>
      </c>
      <c r="C46" s="26">
        <v>43825</v>
      </c>
      <c r="D46" s="15">
        <v>44121904</v>
      </c>
      <c r="E46" s="10" t="s">
        <v>36</v>
      </c>
      <c r="F46" s="16" t="s">
        <v>54</v>
      </c>
      <c r="G46" s="3">
        <v>31.86</v>
      </c>
      <c r="H46" s="8">
        <f>2</f>
        <v>2</v>
      </c>
    </row>
    <row r="47" spans="2:8" x14ac:dyDescent="0.25">
      <c r="B47" s="14" t="s">
        <v>39</v>
      </c>
      <c r="C47" s="26">
        <v>43906</v>
      </c>
      <c r="D47" s="15">
        <v>44103103</v>
      </c>
      <c r="E47" s="10" t="s">
        <v>117</v>
      </c>
      <c r="F47" s="16" t="s">
        <v>54</v>
      </c>
      <c r="G47" s="3">
        <v>2506.3200000000002</v>
      </c>
      <c r="H47" s="8">
        <f>21-4-4-4-2-1-5</f>
        <v>1</v>
      </c>
    </row>
    <row r="48" spans="2:8" x14ac:dyDescent="0.25">
      <c r="B48" s="7" t="s">
        <v>196</v>
      </c>
      <c r="C48" s="26">
        <v>43998</v>
      </c>
      <c r="D48" s="15">
        <v>44121706</v>
      </c>
      <c r="E48" s="10" t="s">
        <v>47</v>
      </c>
      <c r="F48" s="16" t="s">
        <v>59</v>
      </c>
      <c r="G48" s="3">
        <v>38.94</v>
      </c>
      <c r="H48" s="8">
        <f>79-12-1-1-1-1-2-1-2-1-2-2-2-5-1-1-4-4-1-1</f>
        <v>34</v>
      </c>
    </row>
    <row r="49" spans="2:8" x14ac:dyDescent="0.25">
      <c r="B49" s="14" t="s">
        <v>39</v>
      </c>
      <c r="C49" s="26">
        <v>43998</v>
      </c>
      <c r="D49" s="15">
        <v>44121905</v>
      </c>
      <c r="E49" s="10" t="s">
        <v>52</v>
      </c>
      <c r="F49" s="16" t="s">
        <v>54</v>
      </c>
      <c r="G49" s="3">
        <v>41</v>
      </c>
      <c r="H49" s="8">
        <f>55-24-2-4</f>
        <v>25</v>
      </c>
    </row>
    <row r="50" spans="2:8" x14ac:dyDescent="0.25">
      <c r="B50" s="7" t="s">
        <v>196</v>
      </c>
      <c r="C50" s="26">
        <v>43998</v>
      </c>
      <c r="D50" s="15">
        <v>44121701</v>
      </c>
      <c r="E50" s="10" t="s">
        <v>43</v>
      </c>
      <c r="F50" s="16" t="s">
        <v>59</v>
      </c>
      <c r="G50" s="3">
        <v>42</v>
      </c>
      <c r="H50" s="8">
        <v>3</v>
      </c>
    </row>
    <row r="51" spans="2:8" x14ac:dyDescent="0.25">
      <c r="B51" s="7" t="s">
        <v>196</v>
      </c>
      <c r="C51" s="26">
        <v>43998</v>
      </c>
      <c r="D51" s="15">
        <v>44111501</v>
      </c>
      <c r="E51" s="10" t="s">
        <v>46</v>
      </c>
      <c r="F51" s="16" t="s">
        <v>56</v>
      </c>
      <c r="G51" s="3">
        <v>45</v>
      </c>
      <c r="H51" s="8">
        <f>80-12-5-1-1-5-2-2</f>
        <v>52</v>
      </c>
    </row>
    <row r="52" spans="2:8" x14ac:dyDescent="0.25">
      <c r="B52" s="7" t="s">
        <v>196</v>
      </c>
      <c r="C52" s="26">
        <v>43998</v>
      </c>
      <c r="D52" s="15">
        <v>44122012</v>
      </c>
      <c r="E52" s="10" t="s">
        <v>138</v>
      </c>
      <c r="F52" s="16" t="s">
        <v>56</v>
      </c>
      <c r="G52" s="3">
        <v>247.8</v>
      </c>
      <c r="H52" s="8">
        <f>8-4+1</f>
        <v>5</v>
      </c>
    </row>
    <row r="53" spans="2:8" x14ac:dyDescent="0.25">
      <c r="B53" s="7" t="s">
        <v>196</v>
      </c>
      <c r="C53" s="26">
        <v>43998</v>
      </c>
      <c r="D53" s="15">
        <v>44103111</v>
      </c>
      <c r="E53" s="10" t="s">
        <v>100</v>
      </c>
      <c r="F53" s="16" t="s">
        <v>54</v>
      </c>
      <c r="G53" s="3">
        <v>460.2</v>
      </c>
      <c r="H53" s="8">
        <f>17-1-2+15-2</f>
        <v>27</v>
      </c>
    </row>
    <row r="54" spans="2:8" x14ac:dyDescent="0.25">
      <c r="B54" s="7" t="s">
        <v>196</v>
      </c>
      <c r="C54" s="26">
        <v>43998</v>
      </c>
      <c r="D54" s="15">
        <v>44103111</v>
      </c>
      <c r="E54" s="10" t="s">
        <v>101</v>
      </c>
      <c r="F54" s="16" t="s">
        <v>54</v>
      </c>
      <c r="G54" s="3">
        <v>460.2</v>
      </c>
      <c r="H54" s="8">
        <f>21-1-2+10-2</f>
        <v>26</v>
      </c>
    </row>
    <row r="55" spans="2:8" x14ac:dyDescent="0.25">
      <c r="B55" s="7" t="s">
        <v>196</v>
      </c>
      <c r="C55" s="26">
        <v>43998</v>
      </c>
      <c r="D55" s="15">
        <v>44103111</v>
      </c>
      <c r="E55" s="10" t="s">
        <v>99</v>
      </c>
      <c r="F55" s="16" t="s">
        <v>54</v>
      </c>
      <c r="G55" s="3">
        <v>460.2</v>
      </c>
      <c r="H55" s="8">
        <f>20-1-4+25-3-2</f>
        <v>35</v>
      </c>
    </row>
    <row r="56" spans="2:8" x14ac:dyDescent="0.25">
      <c r="B56" s="7" t="s">
        <v>196</v>
      </c>
      <c r="C56" s="26">
        <v>43998</v>
      </c>
      <c r="D56" s="15">
        <v>44103111</v>
      </c>
      <c r="E56" s="10" t="s">
        <v>102</v>
      </c>
      <c r="F56" s="16" t="s">
        <v>54</v>
      </c>
      <c r="G56" s="3">
        <v>460.2</v>
      </c>
      <c r="H56" s="8">
        <f>21-1-2+10-2</f>
        <v>26</v>
      </c>
    </row>
    <row r="57" spans="2:8" x14ac:dyDescent="0.25">
      <c r="B57" s="14" t="s">
        <v>39</v>
      </c>
      <c r="C57" s="26">
        <v>43998</v>
      </c>
      <c r="D57" s="15">
        <v>44121619</v>
      </c>
      <c r="E57" s="10" t="s">
        <v>44</v>
      </c>
      <c r="F57" s="16" t="s">
        <v>54</v>
      </c>
      <c r="G57" s="3">
        <v>860</v>
      </c>
      <c r="H57" s="8">
        <f>10-5-1-1</f>
        <v>3</v>
      </c>
    </row>
    <row r="58" spans="2:8" x14ac:dyDescent="0.25">
      <c r="B58" s="7" t="s">
        <v>196</v>
      </c>
      <c r="C58" s="26">
        <v>44005</v>
      </c>
      <c r="D58" s="15">
        <v>39101701</v>
      </c>
      <c r="E58" s="10" t="s">
        <v>195</v>
      </c>
      <c r="F58" s="16" t="s">
        <v>54</v>
      </c>
      <c r="G58" s="3" t="s">
        <v>6</v>
      </c>
      <c r="H58" s="8">
        <f>103-1-1-1-2-5-6-1</f>
        <v>86</v>
      </c>
    </row>
    <row r="59" spans="2:8" x14ac:dyDescent="0.25">
      <c r="B59" s="7" t="s">
        <v>196</v>
      </c>
      <c r="C59" s="26">
        <v>44005</v>
      </c>
      <c r="D59" s="14" t="s">
        <v>6</v>
      </c>
      <c r="E59" s="10" t="s">
        <v>186</v>
      </c>
      <c r="F59" s="16" t="s">
        <v>54</v>
      </c>
      <c r="G59" s="3" t="s">
        <v>6</v>
      </c>
      <c r="H59" s="8">
        <v>1</v>
      </c>
    </row>
    <row r="60" spans="2:8" x14ac:dyDescent="0.25">
      <c r="B60" s="7" t="s">
        <v>196</v>
      </c>
      <c r="C60" s="26">
        <v>44005</v>
      </c>
      <c r="D60" s="14" t="s">
        <v>6</v>
      </c>
      <c r="E60" s="10" t="s">
        <v>187</v>
      </c>
      <c r="F60" s="16" t="s">
        <v>54</v>
      </c>
      <c r="G60" s="3" t="s">
        <v>6</v>
      </c>
      <c r="H60" s="8">
        <v>2</v>
      </c>
    </row>
    <row r="61" spans="2:8" x14ac:dyDescent="0.25">
      <c r="B61" s="7" t="s">
        <v>196</v>
      </c>
      <c r="C61" s="26">
        <v>44005</v>
      </c>
      <c r="D61" s="14" t="s">
        <v>6</v>
      </c>
      <c r="E61" s="10" t="s">
        <v>192</v>
      </c>
      <c r="F61" s="16" t="s">
        <v>54</v>
      </c>
      <c r="G61" s="3" t="s">
        <v>6</v>
      </c>
      <c r="H61" s="8">
        <f>2-1</f>
        <v>1</v>
      </c>
    </row>
    <row r="62" spans="2:8" x14ac:dyDescent="0.25">
      <c r="B62" s="7" t="s">
        <v>196</v>
      </c>
      <c r="C62" s="26">
        <v>44012</v>
      </c>
      <c r="D62" s="14" t="s">
        <v>6</v>
      </c>
      <c r="E62" s="10" t="s">
        <v>201</v>
      </c>
      <c r="F62" s="16" t="s">
        <v>54</v>
      </c>
      <c r="G62" s="3" t="s">
        <v>6</v>
      </c>
      <c r="H62" s="8">
        <v>2</v>
      </c>
    </row>
    <row r="63" spans="2:8" x14ac:dyDescent="0.25">
      <c r="B63" s="7" t="s">
        <v>196</v>
      </c>
      <c r="C63" s="26">
        <v>44012</v>
      </c>
      <c r="D63" s="14" t="s">
        <v>6</v>
      </c>
      <c r="E63" s="10" t="s">
        <v>191</v>
      </c>
      <c r="F63" s="16" t="s">
        <v>54</v>
      </c>
      <c r="G63" s="3" t="s">
        <v>6</v>
      </c>
      <c r="H63" s="8">
        <v>1</v>
      </c>
    </row>
    <row r="64" spans="2:8" x14ac:dyDescent="0.25">
      <c r="B64" s="14" t="s">
        <v>48</v>
      </c>
      <c r="C64" s="26">
        <v>44018</v>
      </c>
      <c r="D64" s="14" t="s">
        <v>6</v>
      </c>
      <c r="E64" s="10" t="s">
        <v>202</v>
      </c>
      <c r="F64" s="16" t="s">
        <v>55</v>
      </c>
      <c r="G64" s="3" t="s">
        <v>6</v>
      </c>
      <c r="H64" s="8">
        <v>2</v>
      </c>
    </row>
    <row r="65" spans="2:8" x14ac:dyDescent="0.25">
      <c r="B65" s="14" t="s">
        <v>48</v>
      </c>
      <c r="C65" s="26">
        <v>44018</v>
      </c>
      <c r="D65" s="15">
        <v>40142008</v>
      </c>
      <c r="E65" s="10" t="s">
        <v>194</v>
      </c>
      <c r="F65" s="16" t="s">
        <v>180</v>
      </c>
      <c r="G65" s="3" t="s">
        <v>6</v>
      </c>
      <c r="H65" s="8">
        <f>500-50+50</f>
        <v>500</v>
      </c>
    </row>
    <row r="66" spans="2:8" x14ac:dyDescent="0.25">
      <c r="B66" s="14" t="s">
        <v>48</v>
      </c>
      <c r="C66" s="26">
        <v>44018</v>
      </c>
      <c r="D66" s="15">
        <v>24111802</v>
      </c>
      <c r="E66" s="10" t="s">
        <v>184</v>
      </c>
      <c r="F66" s="16" t="s">
        <v>54</v>
      </c>
      <c r="G66" s="3" t="s">
        <v>6</v>
      </c>
      <c r="H66" s="8">
        <v>2</v>
      </c>
    </row>
    <row r="67" spans="2:8" x14ac:dyDescent="0.25">
      <c r="B67" s="14" t="s">
        <v>48</v>
      </c>
      <c r="C67" s="26">
        <v>44018</v>
      </c>
      <c r="D67" s="15">
        <v>39101701</v>
      </c>
      <c r="E67" s="10" t="s">
        <v>185</v>
      </c>
      <c r="F67" s="16" t="s">
        <v>54</v>
      </c>
      <c r="G67" s="3" t="s">
        <v>6</v>
      </c>
      <c r="H67" s="8">
        <f>18-1-3-4</f>
        <v>10</v>
      </c>
    </row>
    <row r="68" spans="2:8" x14ac:dyDescent="0.25">
      <c r="B68" s="14" t="s">
        <v>48</v>
      </c>
      <c r="C68" s="26">
        <v>44018</v>
      </c>
      <c r="D68" s="15">
        <v>39121529</v>
      </c>
      <c r="E68" s="10" t="s">
        <v>183</v>
      </c>
      <c r="F68" s="16" t="s">
        <v>54</v>
      </c>
      <c r="G68" s="3" t="s">
        <v>6</v>
      </c>
      <c r="H68" s="8">
        <v>5</v>
      </c>
    </row>
    <row r="69" spans="2:8" x14ac:dyDescent="0.25">
      <c r="B69" s="14" t="s">
        <v>48</v>
      </c>
      <c r="C69" s="26">
        <v>44020</v>
      </c>
      <c r="D69" s="15">
        <v>43201809</v>
      </c>
      <c r="E69" s="10" t="s">
        <v>139</v>
      </c>
      <c r="F69" s="16" t="s">
        <v>83</v>
      </c>
      <c r="G69" s="3">
        <v>171.1</v>
      </c>
      <c r="H69" s="8">
        <f>103-1-1-1-2-1-1-1-1-1-1-1-1-1-1-1-7-1-1-1-1-1-1-5-2--21-4-4-3-5</f>
        <v>72</v>
      </c>
    </row>
    <row r="70" spans="2:8" x14ac:dyDescent="0.25">
      <c r="B70" s="14" t="s">
        <v>48</v>
      </c>
      <c r="C70" s="26">
        <v>44070</v>
      </c>
      <c r="D70" s="15">
        <v>47131502</v>
      </c>
      <c r="E70" s="10" t="s">
        <v>24</v>
      </c>
      <c r="F70" s="16" t="s">
        <v>54</v>
      </c>
      <c r="G70" s="3">
        <v>95.83</v>
      </c>
      <c r="H70" s="8">
        <f>5-3-2+1</f>
        <v>1</v>
      </c>
    </row>
    <row r="71" spans="2:8" x14ac:dyDescent="0.25">
      <c r="B71" s="14" t="s">
        <v>48</v>
      </c>
      <c r="C71" s="26">
        <v>44078</v>
      </c>
      <c r="D71" s="15">
        <v>47130001</v>
      </c>
      <c r="E71" s="10" t="s">
        <v>91</v>
      </c>
      <c r="F71" s="16" t="s">
        <v>54</v>
      </c>
      <c r="G71" s="3">
        <v>279</v>
      </c>
      <c r="H71" s="8">
        <f>43-1-2-2-10-2-10-3-1-4-2-1</f>
        <v>5</v>
      </c>
    </row>
    <row r="72" spans="2:8" x14ac:dyDescent="0.25">
      <c r="B72" s="14" t="s">
        <v>48</v>
      </c>
      <c r="C72" s="26">
        <v>44088</v>
      </c>
      <c r="D72" s="15">
        <v>52151502</v>
      </c>
      <c r="E72" s="10" t="s">
        <v>23</v>
      </c>
      <c r="F72" s="16" t="s">
        <v>82</v>
      </c>
      <c r="G72" s="3">
        <v>119</v>
      </c>
      <c r="H72" s="8">
        <f>82-20-2-1-1-1-10+100-1-2-10-5-2-2-2-1-3</f>
        <v>119</v>
      </c>
    </row>
    <row r="73" spans="2:8" x14ac:dyDescent="0.25">
      <c r="B73" s="14" t="s">
        <v>80</v>
      </c>
      <c r="C73" s="26">
        <v>44140</v>
      </c>
      <c r="D73" s="15">
        <v>14111515</v>
      </c>
      <c r="E73" s="10" t="s">
        <v>77</v>
      </c>
      <c r="F73" s="16" t="s">
        <v>54</v>
      </c>
      <c r="G73" s="3">
        <v>15.62</v>
      </c>
      <c r="H73" s="8">
        <f>74-6-4</f>
        <v>64</v>
      </c>
    </row>
    <row r="74" spans="2:8" x14ac:dyDescent="0.25">
      <c r="B74" s="14" t="s">
        <v>80</v>
      </c>
      <c r="C74" s="26">
        <v>44140</v>
      </c>
      <c r="D74" s="15">
        <v>14111526</v>
      </c>
      <c r="E74" s="10" t="s">
        <v>74</v>
      </c>
      <c r="F74" s="16" t="s">
        <v>54</v>
      </c>
      <c r="G74" s="3">
        <v>37.520000000000003</v>
      </c>
      <c r="H74" s="8">
        <f>163-5-1-12-5-4-12-12-2-3-3-35-1-15-5+22-1</f>
        <v>69</v>
      </c>
    </row>
    <row r="75" spans="2:8" x14ac:dyDescent="0.25">
      <c r="B75" s="14" t="s">
        <v>80</v>
      </c>
      <c r="C75" s="26">
        <v>44140</v>
      </c>
      <c r="D75" s="15">
        <v>14111801</v>
      </c>
      <c r="E75" s="10" t="s">
        <v>53</v>
      </c>
      <c r="F75" s="16" t="s">
        <v>54</v>
      </c>
      <c r="G75" s="3">
        <v>258.77</v>
      </c>
      <c r="H75" s="8">
        <f>122-10-18-20-5-1</f>
        <v>68</v>
      </c>
    </row>
    <row r="76" spans="2:8" x14ac:dyDescent="0.25">
      <c r="B76" s="14" t="s">
        <v>80</v>
      </c>
      <c r="C76" s="26">
        <v>44141</v>
      </c>
      <c r="D76" s="15">
        <v>42132203</v>
      </c>
      <c r="E76" s="10" t="s">
        <v>73</v>
      </c>
      <c r="F76" s="16" t="s">
        <v>55</v>
      </c>
      <c r="G76" s="3">
        <v>46.02</v>
      </c>
      <c r="H76" s="8">
        <f>87-1-2-1-2-5-10-2-2-2-1-1-1-2-1-1-8-4-1-2</f>
        <v>38</v>
      </c>
    </row>
    <row r="77" spans="2:8" x14ac:dyDescent="0.25">
      <c r="B77" s="14" t="s">
        <v>80</v>
      </c>
      <c r="C77" s="26">
        <v>44141</v>
      </c>
      <c r="D77" s="15">
        <v>44103111</v>
      </c>
      <c r="E77" s="10" t="s">
        <v>96</v>
      </c>
      <c r="F77" s="16" t="s">
        <v>54</v>
      </c>
      <c r="G77" s="3">
        <v>590</v>
      </c>
      <c r="H77" s="8">
        <f>19-4-1-2-1-2-8</f>
        <v>1</v>
      </c>
    </row>
    <row r="78" spans="2:8" x14ac:dyDescent="0.25">
      <c r="B78" s="14" t="s">
        <v>80</v>
      </c>
      <c r="C78" s="26">
        <v>44141</v>
      </c>
      <c r="D78" s="15">
        <v>44103111</v>
      </c>
      <c r="E78" s="10" t="s">
        <v>97</v>
      </c>
      <c r="F78" s="16" t="s">
        <v>54</v>
      </c>
      <c r="G78" s="3">
        <v>590</v>
      </c>
      <c r="H78" s="8">
        <f>20-4-1-2-1-2-8</f>
        <v>2</v>
      </c>
    </row>
    <row r="79" spans="2:8" x14ac:dyDescent="0.25">
      <c r="B79" s="14" t="s">
        <v>80</v>
      </c>
      <c r="C79" s="26">
        <v>44141</v>
      </c>
      <c r="D79" s="15">
        <v>44103111</v>
      </c>
      <c r="E79" s="10" t="s">
        <v>98</v>
      </c>
      <c r="F79" s="16" t="s">
        <v>54</v>
      </c>
      <c r="G79" s="3">
        <v>590</v>
      </c>
      <c r="H79" s="8">
        <f>19-4-1-2-1-2-8</f>
        <v>1</v>
      </c>
    </row>
    <row r="80" spans="2:8" x14ac:dyDescent="0.25">
      <c r="B80" s="14" t="s">
        <v>80</v>
      </c>
      <c r="C80" s="26">
        <v>44141</v>
      </c>
      <c r="D80" s="15">
        <v>44103105</v>
      </c>
      <c r="E80" s="10" t="s">
        <v>65</v>
      </c>
      <c r="F80" s="16" t="s">
        <v>54</v>
      </c>
      <c r="G80" s="3">
        <v>896.8</v>
      </c>
      <c r="H80" s="8">
        <f>30-5-3-2-4-3</f>
        <v>13</v>
      </c>
    </row>
    <row r="81" spans="2:8" x14ac:dyDescent="0.25">
      <c r="B81" s="14" t="s">
        <v>80</v>
      </c>
      <c r="C81" s="26">
        <v>44152</v>
      </c>
      <c r="D81" s="15">
        <v>44103111</v>
      </c>
      <c r="E81" s="10" t="s">
        <v>103</v>
      </c>
      <c r="F81" s="16" t="s">
        <v>54</v>
      </c>
      <c r="G81" s="3">
        <v>1250.8</v>
      </c>
      <c r="H81" s="8">
        <v>12</v>
      </c>
    </row>
    <row r="82" spans="2:8" x14ac:dyDescent="0.25">
      <c r="B82" s="14" t="s">
        <v>80</v>
      </c>
      <c r="C82" s="26">
        <v>44152</v>
      </c>
      <c r="D82" s="15">
        <v>44103111</v>
      </c>
      <c r="E82" s="10" t="s">
        <v>119</v>
      </c>
      <c r="F82" s="16" t="s">
        <v>54</v>
      </c>
      <c r="G82" s="3">
        <v>1534</v>
      </c>
      <c r="H82" s="8">
        <f>6+20-1-2</f>
        <v>23</v>
      </c>
    </row>
    <row r="83" spans="2:8" x14ac:dyDescent="0.25">
      <c r="B83" s="14" t="s">
        <v>80</v>
      </c>
      <c r="C83" s="26">
        <v>44152</v>
      </c>
      <c r="D83" s="15">
        <v>44103103</v>
      </c>
      <c r="E83" s="10" t="s">
        <v>118</v>
      </c>
      <c r="F83" s="16" t="s">
        <v>54</v>
      </c>
      <c r="G83" s="3">
        <v>6490</v>
      </c>
      <c r="H83" s="8">
        <v>10</v>
      </c>
    </row>
    <row r="84" spans="2:8" x14ac:dyDescent="0.25">
      <c r="B84" s="14" t="s">
        <v>80</v>
      </c>
      <c r="C84" s="26">
        <v>44166</v>
      </c>
      <c r="D84" s="15">
        <v>42182201</v>
      </c>
      <c r="E84" s="10" t="s">
        <v>78</v>
      </c>
      <c r="F84" s="16" t="s">
        <v>54</v>
      </c>
      <c r="G84" s="3">
        <v>2000</v>
      </c>
      <c r="H84" s="8">
        <f>11-1-9</f>
        <v>1</v>
      </c>
    </row>
    <row r="85" spans="2:8" x14ac:dyDescent="0.25">
      <c r="B85" s="14" t="s">
        <v>80</v>
      </c>
      <c r="C85" s="26">
        <v>44167</v>
      </c>
      <c r="D85" s="15">
        <v>42311514</v>
      </c>
      <c r="E85" s="10" t="s">
        <v>68</v>
      </c>
      <c r="F85" s="16" t="s">
        <v>58</v>
      </c>
      <c r="G85" s="3">
        <v>75</v>
      </c>
      <c r="H85" s="8">
        <v>60</v>
      </c>
    </row>
    <row r="86" spans="2:8" x14ac:dyDescent="0.25">
      <c r="B86" s="14" t="s">
        <v>80</v>
      </c>
      <c r="C86" s="26">
        <v>44167</v>
      </c>
      <c r="D86" s="15">
        <v>42182206</v>
      </c>
      <c r="E86" s="10" t="s">
        <v>95</v>
      </c>
      <c r="F86" s="16" t="s">
        <v>54</v>
      </c>
      <c r="G86" s="3">
        <v>87.5</v>
      </c>
      <c r="H86" s="8">
        <f>10</f>
        <v>10</v>
      </c>
    </row>
    <row r="87" spans="2:8" x14ac:dyDescent="0.25">
      <c r="B87" s="14" t="s">
        <v>80</v>
      </c>
      <c r="C87" s="26">
        <v>44169</v>
      </c>
      <c r="D87" s="15">
        <v>42132203</v>
      </c>
      <c r="E87" s="10" t="s">
        <v>140</v>
      </c>
      <c r="F87" s="16" t="s">
        <v>88</v>
      </c>
      <c r="G87" s="3">
        <v>619.5</v>
      </c>
      <c r="H87" s="8">
        <f>74-1-20-2-2-2-3-2-3-1</f>
        <v>38</v>
      </c>
    </row>
    <row r="88" spans="2:8" x14ac:dyDescent="0.25">
      <c r="B88" s="14" t="s">
        <v>121</v>
      </c>
      <c r="C88" s="26">
        <v>44260</v>
      </c>
      <c r="D88" s="15">
        <v>50201706</v>
      </c>
      <c r="E88" s="10" t="s">
        <v>64</v>
      </c>
      <c r="F88" s="16" t="s">
        <v>87</v>
      </c>
      <c r="G88" s="3">
        <v>209</v>
      </c>
      <c r="H88" s="8">
        <f>1500-2-5-4-4-4-4-160-80-45-3-8-3-8-4-6-4-6-8-6-8-6-6-8-3-61-14-19-109-58-68-3-41-21-40</f>
        <v>671</v>
      </c>
    </row>
    <row r="89" spans="2:8" x14ac:dyDescent="0.25">
      <c r="B89" s="14" t="s">
        <v>121</v>
      </c>
      <c r="C89" s="26">
        <v>44273</v>
      </c>
      <c r="D89" s="15">
        <v>60121130</v>
      </c>
      <c r="E89" s="10" t="s">
        <v>141</v>
      </c>
      <c r="F89" s="16" t="s">
        <v>54</v>
      </c>
      <c r="G89" s="3">
        <v>743.4</v>
      </c>
      <c r="H89" s="8">
        <f>61-3-4-2-2-5+39-1-1-3-3-1-3-1-20-1-3-1-1-2-2-1-1-1-2-8-4-1</f>
        <v>23</v>
      </c>
    </row>
    <row r="90" spans="2:8" x14ac:dyDescent="0.25">
      <c r="B90" s="14" t="s">
        <v>121</v>
      </c>
      <c r="C90" s="26">
        <v>44273</v>
      </c>
      <c r="D90" s="15">
        <v>44122015</v>
      </c>
      <c r="E90" s="10" t="s">
        <v>111</v>
      </c>
      <c r="F90" s="16" t="s">
        <v>89</v>
      </c>
      <c r="G90" s="3">
        <v>2230.1999999999998</v>
      </c>
      <c r="H90" s="8">
        <f>5-1-2-2+1</f>
        <v>1</v>
      </c>
    </row>
    <row r="91" spans="2:8" x14ac:dyDescent="0.25">
      <c r="B91" s="14" t="s">
        <v>121</v>
      </c>
      <c r="C91" s="26">
        <v>44273</v>
      </c>
      <c r="D91" s="15">
        <v>14111510</v>
      </c>
      <c r="E91" s="10" t="s">
        <v>115</v>
      </c>
      <c r="F91" s="16" t="s">
        <v>62</v>
      </c>
      <c r="G91" s="3">
        <v>2492.1</v>
      </c>
      <c r="H91" s="8">
        <f>5-1-1-1</f>
        <v>2</v>
      </c>
    </row>
    <row r="92" spans="2:8" x14ac:dyDescent="0.25">
      <c r="B92" s="14" t="s">
        <v>121</v>
      </c>
      <c r="C92" s="26">
        <v>44279</v>
      </c>
      <c r="D92" s="15">
        <v>42131602</v>
      </c>
      <c r="E92" s="10" t="s">
        <v>76</v>
      </c>
      <c r="F92" s="16" t="s">
        <v>129</v>
      </c>
      <c r="G92" s="3">
        <v>150</v>
      </c>
      <c r="H92" s="8">
        <f>3000-146-2-140-1-3-1-168-88-120-147+11-146-145-146-147-10-160-290-760-145-36</f>
        <v>210</v>
      </c>
    </row>
    <row r="93" spans="2:8" x14ac:dyDescent="0.25">
      <c r="B93" s="14" t="s">
        <v>121</v>
      </c>
      <c r="C93" s="26">
        <v>44279</v>
      </c>
      <c r="D93" s="15">
        <v>12352104</v>
      </c>
      <c r="E93" s="10" t="s">
        <v>63</v>
      </c>
      <c r="F93" s="16" t="s">
        <v>81</v>
      </c>
      <c r="G93" s="3">
        <v>737.5</v>
      </c>
      <c r="H93" s="8">
        <f>80-1-1-1-4-12-1-1-1-2-2+150-3-3-3-3-3-2-1-1-1-1-1-1-3-1-1-1-1-1-1-1-2-1-1-1-1-1-1-1-1-1-1-1-2-9-2-6-2-1-1-1-1-1-1-1-1-2-1-1-1-1-1-2-1-1-1-1-1-6-1-1-1-1-1-1-2-1-1-6-4-33-9-12+28</f>
        <v>63</v>
      </c>
    </row>
    <row r="94" spans="2:8" x14ac:dyDescent="0.25">
      <c r="B94" s="14" t="s">
        <v>121</v>
      </c>
      <c r="C94" s="26">
        <v>44279</v>
      </c>
      <c r="D94" s="15">
        <v>47101605</v>
      </c>
      <c r="E94" s="10" t="s">
        <v>72</v>
      </c>
      <c r="F94" s="16" t="s">
        <v>81</v>
      </c>
      <c r="G94" s="3">
        <v>794.99</v>
      </c>
      <c r="H94" s="8">
        <f>55-1-1-3-12-1-1-1+120-2-2-2-2-2-2-1-1-1-1-1-2-2-1-1-1-1-1-6-1-1-1-4-14</f>
        <v>102</v>
      </c>
    </row>
    <row r="95" spans="2:8" x14ac:dyDescent="0.25">
      <c r="B95" s="14" t="s">
        <v>121</v>
      </c>
      <c r="C95" s="26">
        <v>44284</v>
      </c>
      <c r="D95" s="15">
        <v>14111801</v>
      </c>
      <c r="E95" s="10" t="s">
        <v>116</v>
      </c>
      <c r="F95" s="16" t="s">
        <v>54</v>
      </c>
      <c r="G95" s="3">
        <v>53.1</v>
      </c>
      <c r="H95" s="8">
        <f>3+300-10-10-20-15-15-15</f>
        <v>218</v>
      </c>
    </row>
    <row r="96" spans="2:8" x14ac:dyDescent="0.25">
      <c r="B96" s="14" t="s">
        <v>121</v>
      </c>
      <c r="C96" s="26">
        <v>44284</v>
      </c>
      <c r="D96" s="15">
        <v>24112404</v>
      </c>
      <c r="E96" s="10" t="s">
        <v>104</v>
      </c>
      <c r="F96" s="16" t="s">
        <v>54</v>
      </c>
      <c r="G96" s="3">
        <v>129.80000000000001</v>
      </c>
      <c r="H96" s="8">
        <f>250-75-25-25-10-10-10-10-10-10-12-25-1-7-2-3-3</f>
        <v>12</v>
      </c>
    </row>
    <row r="97" spans="2:8" x14ac:dyDescent="0.25">
      <c r="B97" s="14" t="s">
        <v>121</v>
      </c>
      <c r="C97" s="26">
        <v>44284</v>
      </c>
      <c r="D97" s="15">
        <v>14111507</v>
      </c>
      <c r="E97" s="10" t="s">
        <v>143</v>
      </c>
      <c r="F97" s="16" t="s">
        <v>62</v>
      </c>
      <c r="G97" s="3">
        <v>153.34</v>
      </c>
      <c r="H97" s="8">
        <f>452-5-5-5-5-5-20-15-10-10-10-1-1-5-5-5-5-5-10-10-5-20-20-1-4-70-65+65-65-65-39-20</f>
        <v>6</v>
      </c>
    </row>
    <row r="98" spans="2:8" x14ac:dyDescent="0.25">
      <c r="B98" s="14" t="s">
        <v>121</v>
      </c>
      <c r="C98" s="26">
        <v>44284</v>
      </c>
      <c r="D98" s="15">
        <v>44122012</v>
      </c>
      <c r="E98" s="10" t="s">
        <v>142</v>
      </c>
      <c r="F98" s="16" t="s">
        <v>56</v>
      </c>
      <c r="G98" s="3">
        <v>206.5</v>
      </c>
      <c r="H98" s="8">
        <f>300-90-25-25-10-10-10-10-10-10-10-5-5-1-1-2-10-3-1-13-10-1-1-1-2-1-1-2-1-2-1-8-2-6-4-5+15</f>
        <v>16</v>
      </c>
    </row>
    <row r="99" spans="2:8" x14ac:dyDescent="0.25">
      <c r="B99" s="14" t="s">
        <v>121</v>
      </c>
      <c r="C99" s="26">
        <v>44284</v>
      </c>
      <c r="D99" s="15">
        <v>44122013</v>
      </c>
      <c r="E99" s="10" t="s">
        <v>110</v>
      </c>
      <c r="F99" s="16" t="s">
        <v>57</v>
      </c>
      <c r="G99" s="3">
        <v>1132.8</v>
      </c>
      <c r="H99" s="8">
        <f>5-2</f>
        <v>3</v>
      </c>
    </row>
    <row r="100" spans="2:8" x14ac:dyDescent="0.25">
      <c r="B100" s="14" t="s">
        <v>121</v>
      </c>
      <c r="C100" s="26">
        <v>44284</v>
      </c>
      <c r="D100" s="15">
        <v>44122013</v>
      </c>
      <c r="E100" s="10" t="s">
        <v>109</v>
      </c>
      <c r="F100" s="16" t="s">
        <v>57</v>
      </c>
      <c r="G100" s="3">
        <v>1132.8</v>
      </c>
      <c r="H100" s="8">
        <f>5-2-1-1</f>
        <v>1</v>
      </c>
    </row>
    <row r="101" spans="2:8" x14ac:dyDescent="0.25">
      <c r="B101" s="14" t="s">
        <v>121</v>
      </c>
      <c r="C101" s="26">
        <v>44284</v>
      </c>
      <c r="D101" s="15">
        <v>44122015</v>
      </c>
      <c r="E101" s="10" t="s">
        <v>203</v>
      </c>
      <c r="F101" s="16" t="s">
        <v>54</v>
      </c>
      <c r="G101" s="3">
        <v>1342.5</v>
      </c>
      <c r="H101" s="8">
        <f>4+5-4-1-2-1+59-40-11</f>
        <v>9</v>
      </c>
    </row>
    <row r="102" spans="2:8" x14ac:dyDescent="0.25">
      <c r="B102" s="14" t="s">
        <v>121</v>
      </c>
      <c r="C102" s="26">
        <v>44284</v>
      </c>
      <c r="D102" s="15">
        <v>44121506</v>
      </c>
      <c r="E102" s="10" t="s">
        <v>200</v>
      </c>
      <c r="F102" s="16" t="s">
        <v>54</v>
      </c>
      <c r="G102" s="3" t="s">
        <v>6</v>
      </c>
      <c r="H102" s="8">
        <f>8000-20-10-900-80</f>
        <v>6990</v>
      </c>
    </row>
    <row r="103" spans="2:8" x14ac:dyDescent="0.25">
      <c r="B103" s="14" t="s">
        <v>121</v>
      </c>
      <c r="C103" s="26">
        <v>44285</v>
      </c>
      <c r="D103" s="15">
        <v>14111813</v>
      </c>
      <c r="E103" s="10" t="s">
        <v>75</v>
      </c>
      <c r="F103" s="16" t="s">
        <v>54</v>
      </c>
      <c r="G103" s="3">
        <v>251.34</v>
      </c>
      <c r="H103" s="8">
        <f>60-1-10-1-3-1-1-2-1-1-2-4+1-1</f>
        <v>33</v>
      </c>
    </row>
    <row r="104" spans="2:8" x14ac:dyDescent="0.25">
      <c r="B104" s="7" t="s">
        <v>197</v>
      </c>
      <c r="C104" s="26">
        <v>44293</v>
      </c>
      <c r="D104" s="15">
        <v>50161509</v>
      </c>
      <c r="E104" s="10" t="s">
        <v>94</v>
      </c>
      <c r="F104" s="16" t="s">
        <v>86</v>
      </c>
      <c r="G104" s="3">
        <v>149</v>
      </c>
      <c r="H104" s="8">
        <f>200-24-24-8-8-64-8-16-8-8-3-3-3+300-2-5-1-4-3-3-3-5-3-3-3-2-3-4-3-3-23-8-2-3-4-2-4-4-3-3-1-2+700-1-3-3-3-1-2-2-3-2-2-80-40-80-2-4-3-3-2-3-4-4-2-2-4-22-5-5-19-24-10-38-29-18</f>
        <v>489</v>
      </c>
    </row>
    <row r="105" spans="2:8" x14ac:dyDescent="0.25">
      <c r="B105" s="7" t="s">
        <v>197</v>
      </c>
      <c r="C105" s="26">
        <v>44315</v>
      </c>
      <c r="D105" s="15">
        <v>44111612</v>
      </c>
      <c r="E105" s="10" t="s">
        <v>144</v>
      </c>
      <c r="F105" s="16" t="s">
        <v>59</v>
      </c>
      <c r="G105" s="3">
        <v>21.61</v>
      </c>
      <c r="H105" s="8">
        <f>25-1-6-2-1-6-5-1-2</f>
        <v>1</v>
      </c>
    </row>
    <row r="106" spans="2:8" x14ac:dyDescent="0.25">
      <c r="B106" s="7" t="s">
        <v>197</v>
      </c>
      <c r="C106" s="26">
        <v>44315</v>
      </c>
      <c r="D106" s="15">
        <v>44111612</v>
      </c>
      <c r="E106" s="10" t="s">
        <v>149</v>
      </c>
      <c r="F106" s="16" t="s">
        <v>125</v>
      </c>
      <c r="G106" s="3">
        <v>21.61</v>
      </c>
      <c r="H106" s="8">
        <f>25-5-1-1-3-2-1-2-2-3</f>
        <v>5</v>
      </c>
    </row>
    <row r="107" spans="2:8" x14ac:dyDescent="0.25">
      <c r="B107" s="7" t="s">
        <v>197</v>
      </c>
      <c r="C107" s="26">
        <v>44315</v>
      </c>
      <c r="D107" s="15">
        <v>44122104</v>
      </c>
      <c r="E107" s="10" t="s">
        <v>31</v>
      </c>
      <c r="F107" s="16" t="s">
        <v>56</v>
      </c>
      <c r="G107" s="3">
        <v>23.8</v>
      </c>
      <c r="H107" s="8">
        <f>55-1-2-15-24-4-1+100-2-20-10-5-3-6-1-2-5-5-1-5-5-2-10+6-3-2-1-3</f>
        <v>23</v>
      </c>
    </row>
    <row r="108" spans="2:8" x14ac:dyDescent="0.25">
      <c r="B108" s="7" t="s">
        <v>197</v>
      </c>
      <c r="C108" s="26">
        <v>44315</v>
      </c>
      <c r="D108" s="15">
        <v>44121701</v>
      </c>
      <c r="E108" s="10" t="s">
        <v>148</v>
      </c>
      <c r="F108" s="16" t="s">
        <v>124</v>
      </c>
      <c r="G108" s="3">
        <v>25</v>
      </c>
      <c r="H108" s="8">
        <f>180-1-2-4-50-5-2-2-1-1-1-1-2-2-1-2-1-5-5-2-1-10-2-10-2-1-2-20-1-1-2-2-1-2-2-1-2-1-1-2-1-6-1-1-1-1-1+7-1-3-6-6-1-1</f>
        <v>1</v>
      </c>
    </row>
    <row r="109" spans="2:8" x14ac:dyDescent="0.25">
      <c r="B109" s="7" t="s">
        <v>197</v>
      </c>
      <c r="C109" s="26">
        <v>44315</v>
      </c>
      <c r="D109" s="15">
        <v>44121701</v>
      </c>
      <c r="E109" s="10" t="s">
        <v>150</v>
      </c>
      <c r="F109" s="16" t="s">
        <v>124</v>
      </c>
      <c r="G109" s="3">
        <v>25</v>
      </c>
      <c r="H109" s="8">
        <f>60-1-10-1-3-1-10-1-1-2-1</f>
        <v>29</v>
      </c>
    </row>
    <row r="110" spans="2:8" x14ac:dyDescent="0.25">
      <c r="B110" s="7" t="s">
        <v>197</v>
      </c>
      <c r="C110" s="26">
        <v>44315</v>
      </c>
      <c r="D110" s="15">
        <v>55121504</v>
      </c>
      <c r="E110" s="10" t="s">
        <v>182</v>
      </c>
      <c r="F110" s="16" t="s">
        <v>54</v>
      </c>
      <c r="G110" s="3">
        <v>27.73</v>
      </c>
      <c r="H110" s="8">
        <f>300-2-5-30-4-1-1-8-6-4-2-2-1-2-2-1-3-2-3-12-1-5</f>
        <v>203</v>
      </c>
    </row>
    <row r="111" spans="2:8" x14ac:dyDescent="0.25">
      <c r="B111" s="7" t="s">
        <v>197</v>
      </c>
      <c r="C111" s="26">
        <v>44315</v>
      </c>
      <c r="D111" s="15">
        <v>44111509</v>
      </c>
      <c r="E111" s="10" t="s">
        <v>147</v>
      </c>
      <c r="F111" s="16" t="s">
        <v>54</v>
      </c>
      <c r="G111" s="3">
        <v>36.58</v>
      </c>
      <c r="H111" s="8">
        <f>30-10-1-1-3-1-1-1-2-3</f>
        <v>7</v>
      </c>
    </row>
    <row r="112" spans="2:8" x14ac:dyDescent="0.25">
      <c r="B112" s="7" t="s">
        <v>197</v>
      </c>
      <c r="C112" s="26">
        <v>44315</v>
      </c>
      <c r="D112" s="15">
        <v>44111510</v>
      </c>
      <c r="E112" s="10" t="s">
        <v>146</v>
      </c>
      <c r="F112" s="16" t="s">
        <v>54</v>
      </c>
      <c r="G112" s="3">
        <v>50.74</v>
      </c>
      <c r="H112" s="8">
        <f>30-1-10-1-3-2-2-2-3-2</f>
        <v>4</v>
      </c>
    </row>
    <row r="113" spans="2:8" x14ac:dyDescent="0.25">
      <c r="B113" s="7" t="s">
        <v>197</v>
      </c>
      <c r="C113" s="26">
        <v>44315</v>
      </c>
      <c r="D113" s="15">
        <v>44122035</v>
      </c>
      <c r="E113" s="10" t="s">
        <v>145</v>
      </c>
      <c r="F113" s="16" t="s">
        <v>54</v>
      </c>
      <c r="G113" s="3">
        <v>240.72</v>
      </c>
      <c r="H113" s="8">
        <f>50-2-2-10-4-2-7-10-2-3-2</f>
        <v>6</v>
      </c>
    </row>
    <row r="114" spans="2:8" x14ac:dyDescent="0.25">
      <c r="B114" s="7" t="s">
        <v>197</v>
      </c>
      <c r="C114" s="26">
        <v>44320</v>
      </c>
      <c r="D114" s="15">
        <v>52151704</v>
      </c>
      <c r="E114" s="10" t="s">
        <v>20</v>
      </c>
      <c r="F114" s="16" t="s">
        <v>82</v>
      </c>
      <c r="G114" s="3">
        <v>59</v>
      </c>
      <c r="H114" s="8">
        <f>98-24-1-1+100-60-1-2-10-1-1-2-2-2-2-5-1</f>
        <v>83</v>
      </c>
    </row>
    <row r="115" spans="2:8" x14ac:dyDescent="0.25">
      <c r="B115" s="7" t="s">
        <v>197</v>
      </c>
      <c r="C115" s="26">
        <v>44320</v>
      </c>
      <c r="D115" s="15">
        <v>47130411</v>
      </c>
      <c r="E115" s="10" t="s">
        <v>92</v>
      </c>
      <c r="F115" s="16" t="s">
        <v>85</v>
      </c>
      <c r="G115" s="3">
        <v>153.4</v>
      </c>
      <c r="H115" s="8">
        <f>28-1-2-2-2-2-1-1-1-2+100-1-5-6-5-2-2-2-2-1-2-1-1-1-1 -3-1-2</f>
        <v>76</v>
      </c>
    </row>
    <row r="116" spans="2:8" x14ac:dyDescent="0.25">
      <c r="B116" s="7" t="s">
        <v>197</v>
      </c>
      <c r="C116" s="26">
        <v>44322</v>
      </c>
      <c r="D116" s="15">
        <v>47130411</v>
      </c>
      <c r="E116" s="10" t="s">
        <v>93</v>
      </c>
      <c r="F116" s="16" t="s">
        <v>85</v>
      </c>
      <c r="G116" s="3">
        <v>88.5</v>
      </c>
      <c r="H116" s="8">
        <f>29-5-2-1-2-2-2-2-1-1-1-1-2-2-1-1-1-1+350-50-25-2-2-2-2-2-2-2-2-2-2-2-12-2-2-2-2-2-1-2-2-1-2-2-1-1-2-1-1-2-2-2-1-12-1-1-1-2-1-1-1-1-2-1-1-1-7-1-1-11-4-11-5-14-17-8-11</f>
        <v>93</v>
      </c>
    </row>
    <row r="117" spans="2:8" x14ac:dyDescent="0.25">
      <c r="B117" s="7" t="s">
        <v>197</v>
      </c>
      <c r="C117" s="26">
        <v>44322</v>
      </c>
      <c r="D117" s="15">
        <v>47120300</v>
      </c>
      <c r="E117" s="10" t="s">
        <v>40</v>
      </c>
      <c r="F117" s="16" t="s">
        <v>54</v>
      </c>
      <c r="G117" s="3">
        <v>141.6</v>
      </c>
      <c r="H117" s="8">
        <f>11-1-1+30-12-1-1-1-1-6</f>
        <v>17</v>
      </c>
    </row>
    <row r="118" spans="2:8" x14ac:dyDescent="0.25">
      <c r="B118" s="7" t="s">
        <v>197</v>
      </c>
      <c r="C118" s="26">
        <v>44322</v>
      </c>
      <c r="D118" s="15">
        <v>47130411</v>
      </c>
      <c r="E118" s="10" t="s">
        <v>152</v>
      </c>
      <c r="F118" s="16" t="s">
        <v>83</v>
      </c>
      <c r="G118" s="3">
        <v>271.39999999999998</v>
      </c>
      <c r="H118" s="8">
        <f>500-72-24-4-2-2-2-2-1-2-2-2-2-2-1-7-3-2-2-2-1-2-1-1-1-1-1-2-1-24-1-1-1-1-1-2-1-1-1-1-7-2-5-5-7-14-5-9</f>
        <v>264</v>
      </c>
    </row>
    <row r="119" spans="2:8" x14ac:dyDescent="0.25">
      <c r="B119" s="7" t="s">
        <v>197</v>
      </c>
      <c r="C119" s="26">
        <v>44322</v>
      </c>
      <c r="D119" s="15">
        <v>43201809</v>
      </c>
      <c r="E119" s="10" t="s">
        <v>151</v>
      </c>
      <c r="F119" s="16" t="s">
        <v>83</v>
      </c>
      <c r="G119" s="3">
        <v>413</v>
      </c>
      <c r="H119" s="8">
        <f>100-25-5-1-7-5-2-2-1-1-1-1-1-1-1-1-1-1-1-1-1-1-4-6-4-4-4</f>
        <v>17</v>
      </c>
    </row>
    <row r="120" spans="2:8" x14ac:dyDescent="0.25">
      <c r="B120" s="7" t="s">
        <v>197</v>
      </c>
      <c r="C120" s="26">
        <v>44322</v>
      </c>
      <c r="D120" s="15">
        <v>47131702</v>
      </c>
      <c r="E120" s="10" t="s">
        <v>67</v>
      </c>
      <c r="F120" s="16" t="s">
        <v>54</v>
      </c>
      <c r="G120" s="3">
        <v>1180</v>
      </c>
      <c r="H120" s="8">
        <f>4+30-10-5-1-4</f>
        <v>14</v>
      </c>
    </row>
    <row r="121" spans="2:8" x14ac:dyDescent="0.25">
      <c r="B121" s="7" t="s">
        <v>197</v>
      </c>
      <c r="C121" s="26">
        <v>44326</v>
      </c>
      <c r="D121" s="15">
        <v>43201809</v>
      </c>
      <c r="E121" s="10" t="s">
        <v>153</v>
      </c>
      <c r="F121" s="16" t="s">
        <v>83</v>
      </c>
      <c r="G121" s="3">
        <v>767</v>
      </c>
      <c r="H121" s="8">
        <f>25-10+100-4-5-2-1-1-1-1-1-1-1-1-1-5-7-1-1-1-1-2-1-7-2-1</f>
        <v>66</v>
      </c>
    </row>
    <row r="122" spans="2:8" x14ac:dyDescent="0.25">
      <c r="B122" s="7" t="s">
        <v>197</v>
      </c>
      <c r="C122" s="26">
        <v>44333</v>
      </c>
      <c r="D122" s="15">
        <v>44103103</v>
      </c>
      <c r="E122" s="10" t="s">
        <v>120</v>
      </c>
      <c r="F122" s="16" t="s">
        <v>54</v>
      </c>
      <c r="G122" s="3" t="s">
        <v>6</v>
      </c>
      <c r="H122" s="8">
        <f>23-5-4+35-1-15-2-3-2-1-1-5-2-5-4-4-2</f>
        <v>2</v>
      </c>
    </row>
    <row r="123" spans="2:8" x14ac:dyDescent="0.25">
      <c r="B123" s="7" t="s">
        <v>197</v>
      </c>
      <c r="C123" s="26">
        <v>44334</v>
      </c>
      <c r="D123" s="15">
        <v>41111604</v>
      </c>
      <c r="E123" s="10" t="s">
        <v>161</v>
      </c>
      <c r="F123" s="16" t="s">
        <v>54</v>
      </c>
      <c r="G123" s="3">
        <v>2.48</v>
      </c>
      <c r="H123" s="8">
        <f>50-9-1-2-1-1-2-3</f>
        <v>31</v>
      </c>
    </row>
    <row r="124" spans="2:8" x14ac:dyDescent="0.25">
      <c r="B124" s="7" t="s">
        <v>197</v>
      </c>
      <c r="C124" s="26">
        <v>44334</v>
      </c>
      <c r="D124" s="15">
        <v>44121804</v>
      </c>
      <c r="E124" s="10" t="s">
        <v>45</v>
      </c>
      <c r="F124" s="16" t="s">
        <v>54</v>
      </c>
      <c r="G124" s="3">
        <v>3.25</v>
      </c>
      <c r="H124" s="8">
        <f>4+50-1-3-1</f>
        <v>49</v>
      </c>
    </row>
    <row r="125" spans="2:8" x14ac:dyDescent="0.25">
      <c r="B125" s="7" t="s">
        <v>197</v>
      </c>
      <c r="C125" s="26">
        <v>44334</v>
      </c>
      <c r="D125" s="15">
        <v>44122104</v>
      </c>
      <c r="E125" s="10" t="s">
        <v>32</v>
      </c>
      <c r="F125" s="16" t="s">
        <v>56</v>
      </c>
      <c r="G125" s="3">
        <v>11.99</v>
      </c>
      <c r="H125" s="8">
        <f>150-3-1-2-5-3-4-15-1-5-10-1-3-1-3-2-3</f>
        <v>88</v>
      </c>
    </row>
    <row r="126" spans="2:8" x14ac:dyDescent="0.25">
      <c r="B126" s="7" t="s">
        <v>197</v>
      </c>
      <c r="C126" s="26">
        <v>44334</v>
      </c>
      <c r="D126" s="15">
        <v>44122101</v>
      </c>
      <c r="E126" s="10" t="s">
        <v>156</v>
      </c>
      <c r="F126" s="16" t="s">
        <v>56</v>
      </c>
      <c r="G126" s="3">
        <v>19.07</v>
      </c>
      <c r="H126" s="8">
        <f>120-20-1-1-5-6-5-15-5-1-1-5-5-18-2-2-1-9-1-2-1+4-3-4-2-4</f>
        <v>5</v>
      </c>
    </row>
    <row r="127" spans="2:8" x14ac:dyDescent="0.25">
      <c r="B127" s="7" t="s">
        <v>197</v>
      </c>
      <c r="C127" s="26">
        <v>44334</v>
      </c>
      <c r="D127" s="15">
        <v>44122026</v>
      </c>
      <c r="E127" s="10" t="s">
        <v>155</v>
      </c>
      <c r="F127" s="16" t="s">
        <v>54</v>
      </c>
      <c r="G127" s="3">
        <v>20.059999999999999</v>
      </c>
      <c r="H127" s="8">
        <f>50-10-2-5-5-12-1-2-3-3-3-2</f>
        <v>2</v>
      </c>
    </row>
    <row r="128" spans="2:8" x14ac:dyDescent="0.25">
      <c r="B128" s="7" t="s">
        <v>197</v>
      </c>
      <c r="C128" s="26">
        <v>44334</v>
      </c>
      <c r="D128" s="15">
        <v>31201512</v>
      </c>
      <c r="E128" s="10" t="s">
        <v>168</v>
      </c>
      <c r="F128" s="16" t="s">
        <v>54</v>
      </c>
      <c r="G128" s="3">
        <v>29.5</v>
      </c>
      <c r="H128" s="8">
        <f>200-2-5</f>
        <v>193</v>
      </c>
    </row>
    <row r="129" spans="2:8" x14ac:dyDescent="0.25">
      <c r="B129" s="7" t="s">
        <v>197</v>
      </c>
      <c r="C129" s="26">
        <v>44334</v>
      </c>
      <c r="D129" s="15">
        <v>26111702</v>
      </c>
      <c r="E129" s="10" t="s">
        <v>157</v>
      </c>
      <c r="F129" s="16" t="s">
        <v>54</v>
      </c>
      <c r="G129" s="3">
        <v>41.3</v>
      </c>
      <c r="H129" s="8">
        <f>40-16-4-14</f>
        <v>6</v>
      </c>
    </row>
    <row r="130" spans="2:8" x14ac:dyDescent="0.25">
      <c r="B130" s="7" t="s">
        <v>197</v>
      </c>
      <c r="C130" s="26">
        <v>44334</v>
      </c>
      <c r="D130" s="15">
        <v>31201517</v>
      </c>
      <c r="E130" s="10" t="s">
        <v>25</v>
      </c>
      <c r="F130" s="16" t="s">
        <v>54</v>
      </c>
      <c r="G130" s="3">
        <v>45</v>
      </c>
      <c r="H130" s="8">
        <f>3-2+50-1-1-1-1-1-1-1-1</f>
        <v>43</v>
      </c>
    </row>
    <row r="131" spans="2:8" x14ac:dyDescent="0.25">
      <c r="B131" s="7" t="s">
        <v>197</v>
      </c>
      <c r="C131" s="26">
        <v>44334</v>
      </c>
      <c r="D131" s="15">
        <v>31201517</v>
      </c>
      <c r="E131" s="10" t="s">
        <v>169</v>
      </c>
      <c r="F131" s="16" t="s">
        <v>54</v>
      </c>
      <c r="G131" s="3">
        <v>47</v>
      </c>
      <c r="H131" s="8">
        <f>350-3-8-1-1-3-10-3-5-2-1-3-2-13-2-1-2-2-2-2-6-2-2-1-2-1-1-36-1-2-1-2-2-3-5-1-3-2</f>
        <v>211</v>
      </c>
    </row>
    <row r="132" spans="2:8" x14ac:dyDescent="0.25">
      <c r="B132" s="7" t="s">
        <v>197</v>
      </c>
      <c r="C132" s="26">
        <v>44334</v>
      </c>
      <c r="D132" s="15">
        <v>44121802</v>
      </c>
      <c r="E132" s="10" t="s">
        <v>164</v>
      </c>
      <c r="F132" s="16" t="s">
        <v>59</v>
      </c>
      <c r="G132" s="3">
        <v>53.1</v>
      </c>
      <c r="H132" s="8">
        <f>120-4-3-3-10-10-2-1-10-3-15-2-3-5-6-10-3</f>
        <v>30</v>
      </c>
    </row>
    <row r="133" spans="2:8" x14ac:dyDescent="0.25">
      <c r="B133" s="7" t="s">
        <v>197</v>
      </c>
      <c r="C133" s="26">
        <v>44334</v>
      </c>
      <c r="D133" s="15">
        <v>31201512</v>
      </c>
      <c r="E133" s="10" t="s">
        <v>167</v>
      </c>
      <c r="F133" s="16" t="s">
        <v>54</v>
      </c>
      <c r="G133" s="3">
        <v>56.99</v>
      </c>
      <c r="H133" s="8">
        <f>200-6-5-3-1-3-8-3-24-4-1-3-5-5-1-3-4-2+1-1-33-1-3-5-3-4</f>
        <v>70</v>
      </c>
    </row>
    <row r="134" spans="2:8" x14ac:dyDescent="0.25">
      <c r="B134" s="7" t="s">
        <v>197</v>
      </c>
      <c r="C134" s="26">
        <v>44334</v>
      </c>
      <c r="D134" s="15">
        <v>31201610</v>
      </c>
      <c r="E134" s="10" t="s">
        <v>28</v>
      </c>
      <c r="F134" s="16" t="s">
        <v>54</v>
      </c>
      <c r="G134" s="3">
        <v>94</v>
      </c>
      <c r="H134" s="8">
        <f>32-5+120-2-2-5-2-1-2-2-6-1-1</f>
        <v>123</v>
      </c>
    </row>
    <row r="135" spans="2:8" x14ac:dyDescent="0.25">
      <c r="B135" s="7" t="s">
        <v>197</v>
      </c>
      <c r="C135" s="26">
        <v>44334</v>
      </c>
      <c r="D135" s="15">
        <v>44122003</v>
      </c>
      <c r="E135" s="10" t="s">
        <v>163</v>
      </c>
      <c r="F135" s="16" t="s">
        <v>54</v>
      </c>
      <c r="G135" s="3">
        <v>125.08</v>
      </c>
      <c r="H135" s="8">
        <f>60-2-2-1-9-1-2-20</f>
        <v>23</v>
      </c>
    </row>
    <row r="136" spans="2:8" x14ac:dyDescent="0.25">
      <c r="B136" s="7" t="s">
        <v>197</v>
      </c>
      <c r="C136" s="26">
        <v>44334</v>
      </c>
      <c r="D136" s="15">
        <v>44122002</v>
      </c>
      <c r="E136" s="10" t="s">
        <v>165</v>
      </c>
      <c r="F136" s="16" t="s">
        <v>83</v>
      </c>
      <c r="G136" s="3">
        <v>145.13999999999999</v>
      </c>
      <c r="H136" s="8">
        <f>100-2-4-3-2-2-2-1</f>
        <v>84</v>
      </c>
    </row>
    <row r="137" spans="2:8" x14ac:dyDescent="0.25">
      <c r="B137" s="7" t="s">
        <v>197</v>
      </c>
      <c r="C137" s="26">
        <v>44334</v>
      </c>
      <c r="D137" s="15">
        <v>44122003</v>
      </c>
      <c r="E137" s="10" t="s">
        <v>158</v>
      </c>
      <c r="F137" s="16" t="s">
        <v>54</v>
      </c>
      <c r="G137" s="3">
        <v>171.1</v>
      </c>
      <c r="H137" s="8">
        <f>30-4-1-1-1-2-3</f>
        <v>18</v>
      </c>
    </row>
    <row r="138" spans="2:8" x14ac:dyDescent="0.25">
      <c r="B138" s="7" t="s">
        <v>197</v>
      </c>
      <c r="C138" s="26">
        <v>44334</v>
      </c>
      <c r="D138" s="15">
        <v>44121615</v>
      </c>
      <c r="E138" s="10" t="s">
        <v>154</v>
      </c>
      <c r="F138" s="16" t="s">
        <v>54</v>
      </c>
      <c r="G138" s="3">
        <v>295</v>
      </c>
      <c r="H138" s="8">
        <f>50-8-1-2-1-4-5-1-2-10-1-1-1-1-4-1-2-2</f>
        <v>3</v>
      </c>
    </row>
    <row r="139" spans="2:8" x14ac:dyDescent="0.25">
      <c r="B139" s="7" t="s">
        <v>197</v>
      </c>
      <c r="C139" s="26">
        <v>44334</v>
      </c>
      <c r="D139" s="15">
        <v>44122003</v>
      </c>
      <c r="E139" s="10" t="s">
        <v>105</v>
      </c>
      <c r="F139" s="16" t="s">
        <v>54</v>
      </c>
      <c r="G139" s="3">
        <v>416</v>
      </c>
      <c r="H139" s="8">
        <f>7-1-2-2-1+10-4-1-2-1-2</f>
        <v>1</v>
      </c>
    </row>
    <row r="140" spans="2:8" x14ac:dyDescent="0.25">
      <c r="B140" s="7" t="s">
        <v>197</v>
      </c>
      <c r="C140" s="26">
        <v>44334</v>
      </c>
      <c r="D140" s="15">
        <v>26111702</v>
      </c>
      <c r="E140" s="10" t="s">
        <v>166</v>
      </c>
      <c r="F140" s="16" t="s">
        <v>54</v>
      </c>
      <c r="G140" s="3" t="s">
        <v>6</v>
      </c>
      <c r="H140" s="8">
        <f>120-16-2-2-2-10-10</f>
        <v>78</v>
      </c>
    </row>
    <row r="141" spans="2:8" x14ac:dyDescent="0.25">
      <c r="B141" s="7" t="s">
        <v>197</v>
      </c>
      <c r="C141" s="26">
        <v>44334</v>
      </c>
      <c r="D141" s="15">
        <v>44121605</v>
      </c>
      <c r="E141" s="10" t="s">
        <v>162</v>
      </c>
      <c r="F141" s="16" t="s">
        <v>54</v>
      </c>
      <c r="G141" s="3" t="s">
        <v>6</v>
      </c>
      <c r="H141" s="8">
        <f>50-2-1-1-1-1-1-1-2-1</f>
        <v>39</v>
      </c>
    </row>
    <row r="142" spans="2:8" x14ac:dyDescent="0.25">
      <c r="B142" s="7" t="s">
        <v>197</v>
      </c>
      <c r="C142" s="26">
        <v>44334</v>
      </c>
      <c r="D142" s="15">
        <v>44121716</v>
      </c>
      <c r="E142" s="10" t="s">
        <v>159</v>
      </c>
      <c r="F142" s="16" t="s">
        <v>54</v>
      </c>
      <c r="G142" s="3" t="s">
        <v>6</v>
      </c>
      <c r="H142" s="8">
        <f>72-6-6-3-4-4-4-4-7-2-1-1-1-1-4-4-3-7-3</f>
        <v>7</v>
      </c>
    </row>
    <row r="143" spans="2:8" x14ac:dyDescent="0.25">
      <c r="B143" s="7" t="s">
        <v>197</v>
      </c>
      <c r="C143" s="26">
        <v>44334</v>
      </c>
      <c r="D143" s="15">
        <v>44121716</v>
      </c>
      <c r="E143" s="10" t="s">
        <v>160</v>
      </c>
      <c r="F143" s="16" t="s">
        <v>54</v>
      </c>
      <c r="G143" s="3" t="s">
        <v>6</v>
      </c>
      <c r="H143" s="8">
        <f>72-6-6-2-4-4-4-4-7-2-1-1-1-1-2-4-11+3-3</f>
        <v>12</v>
      </c>
    </row>
    <row r="144" spans="2:8" x14ac:dyDescent="0.25">
      <c r="B144" s="7" t="s">
        <v>197</v>
      </c>
      <c r="C144" s="26">
        <v>44335</v>
      </c>
      <c r="D144" s="15">
        <v>44121709</v>
      </c>
      <c r="E144" s="10" t="s">
        <v>170</v>
      </c>
      <c r="F144" s="16" t="s">
        <v>54</v>
      </c>
      <c r="G144" s="3" t="s">
        <v>6</v>
      </c>
      <c r="H144" s="8">
        <f>240-12-12-7-12-12-5-1-2-6-3-5-2-4</f>
        <v>157</v>
      </c>
    </row>
    <row r="145" spans="2:8" x14ac:dyDescent="0.25">
      <c r="B145" s="7" t="s">
        <v>197</v>
      </c>
      <c r="C145" s="26">
        <v>44336</v>
      </c>
      <c r="D145" s="15">
        <v>47130100</v>
      </c>
      <c r="E145" s="10" t="s">
        <v>174</v>
      </c>
      <c r="F145" s="16" t="s">
        <v>54</v>
      </c>
      <c r="G145" s="3">
        <v>82.6</v>
      </c>
      <c r="H145" s="8">
        <f>100-2-2-4-5-2-2-2-2-2-2-2-2-2-2-2-2-2-1-2-2-4-6-24-6-8</f>
        <v>8</v>
      </c>
    </row>
    <row r="146" spans="2:8" x14ac:dyDescent="0.25">
      <c r="B146" s="7" t="s">
        <v>197</v>
      </c>
      <c r="C146" s="26">
        <v>44336</v>
      </c>
      <c r="D146" s="15">
        <v>47131702</v>
      </c>
      <c r="E146" s="10" t="s">
        <v>173</v>
      </c>
      <c r="F146" s="16" t="s">
        <v>54</v>
      </c>
      <c r="G146" s="3">
        <v>1180</v>
      </c>
      <c r="H146" s="8">
        <f>10-2-2-1-1-1</f>
        <v>3</v>
      </c>
    </row>
    <row r="147" spans="2:8" x14ac:dyDescent="0.25">
      <c r="B147" s="7" t="s">
        <v>197</v>
      </c>
      <c r="C147" s="26">
        <v>44336</v>
      </c>
      <c r="D147" s="14" t="s">
        <v>6</v>
      </c>
      <c r="E147" s="10" t="s">
        <v>172</v>
      </c>
      <c r="F147" s="16" t="s">
        <v>54</v>
      </c>
      <c r="G147" s="3">
        <v>3540</v>
      </c>
      <c r="H147" s="8">
        <f>12-1-1-1-3-1-2-1</f>
        <v>2</v>
      </c>
    </row>
    <row r="148" spans="2:8" x14ac:dyDescent="0.25">
      <c r="B148" s="7" t="s">
        <v>197</v>
      </c>
      <c r="C148" s="26">
        <v>44336</v>
      </c>
      <c r="D148" s="15">
        <v>44121716</v>
      </c>
      <c r="E148" s="10" t="s">
        <v>171</v>
      </c>
      <c r="F148" s="16" t="s">
        <v>54</v>
      </c>
      <c r="G148" s="3" t="s">
        <v>6</v>
      </c>
      <c r="H148" s="8">
        <f>72-4-4-4-4-5-9-1-5-1-1-3-1-4-6-1-3-5-3</f>
        <v>8</v>
      </c>
    </row>
    <row r="149" spans="2:8" x14ac:dyDescent="0.25">
      <c r="B149" s="14" t="s">
        <v>6</v>
      </c>
      <c r="C149" s="26">
        <v>44379</v>
      </c>
      <c r="D149" s="14" t="s">
        <v>6</v>
      </c>
      <c r="E149" s="10" t="s">
        <v>175</v>
      </c>
      <c r="F149" s="16" t="s">
        <v>126</v>
      </c>
      <c r="G149" s="3" t="s">
        <v>6</v>
      </c>
      <c r="H149" s="8">
        <f>5-1</f>
        <v>4</v>
      </c>
    </row>
    <row r="150" spans="2:8" x14ac:dyDescent="0.25">
      <c r="B150" s="14" t="s">
        <v>6</v>
      </c>
      <c r="C150" s="26" t="s">
        <v>6</v>
      </c>
      <c r="D150" s="15">
        <v>14111509</v>
      </c>
      <c r="E150" s="10" t="s">
        <v>27</v>
      </c>
      <c r="F150" s="16" t="s">
        <v>62</v>
      </c>
      <c r="G150" s="3">
        <v>1333.4</v>
      </c>
      <c r="H150" s="8">
        <v>1</v>
      </c>
    </row>
    <row r="151" spans="2:8" x14ac:dyDescent="0.25">
      <c r="B151" s="14" t="s">
        <v>6</v>
      </c>
      <c r="C151" s="26" t="s">
        <v>6</v>
      </c>
      <c r="D151" s="15">
        <v>44122015</v>
      </c>
      <c r="E151" s="10" t="s">
        <v>176</v>
      </c>
      <c r="F151" s="16" t="s">
        <v>56</v>
      </c>
      <c r="G151" s="3" t="s">
        <v>6</v>
      </c>
      <c r="H151" s="8">
        <f>80-2-1</f>
        <v>77</v>
      </c>
    </row>
    <row r="152" spans="2:8" x14ac:dyDescent="0.25">
      <c r="B152" s="14" t="s">
        <v>6</v>
      </c>
      <c r="C152" s="26" t="s">
        <v>6</v>
      </c>
      <c r="D152" s="15">
        <v>44122005</v>
      </c>
      <c r="E152" s="10" t="s">
        <v>108</v>
      </c>
      <c r="F152" s="16" t="s">
        <v>83</v>
      </c>
      <c r="G152" s="3" t="s">
        <v>6</v>
      </c>
      <c r="H152" s="8">
        <v>7</v>
      </c>
    </row>
    <row r="153" spans="2:8" x14ac:dyDescent="0.25">
      <c r="B153" s="14" t="s">
        <v>6</v>
      </c>
      <c r="C153" s="26" t="s">
        <v>6</v>
      </c>
      <c r="D153" s="15">
        <v>44121605</v>
      </c>
      <c r="E153" s="10" t="s">
        <v>26</v>
      </c>
      <c r="F153" s="16" t="s">
        <v>54</v>
      </c>
      <c r="G153" s="3" t="s">
        <v>6</v>
      </c>
      <c r="H153" s="8">
        <v>2</v>
      </c>
    </row>
    <row r="154" spans="2:8" x14ac:dyDescent="0.25">
      <c r="B154" s="14" t="s">
        <v>6</v>
      </c>
      <c r="C154" s="26" t="s">
        <v>6</v>
      </c>
      <c r="D154" s="15">
        <v>50201712</v>
      </c>
      <c r="E154" s="10" t="s">
        <v>179</v>
      </c>
      <c r="F154" s="16" t="s">
        <v>127</v>
      </c>
      <c r="G154" s="3" t="s">
        <v>6</v>
      </c>
      <c r="H154" s="8">
        <f>100-1-1-6-1-43-2-2-13-2</f>
        <v>29</v>
      </c>
    </row>
    <row r="155" spans="2:8" x14ac:dyDescent="0.25">
      <c r="B155" s="14" t="s">
        <v>6</v>
      </c>
      <c r="C155" s="26" t="s">
        <v>6</v>
      </c>
      <c r="D155" s="15">
        <v>50202301</v>
      </c>
      <c r="E155" s="10" t="s">
        <v>177</v>
      </c>
      <c r="F155" s="16" t="s">
        <v>128</v>
      </c>
      <c r="G155" s="3" t="s">
        <v>6</v>
      </c>
      <c r="H155" s="8">
        <f>6-2-4+4+4+2+1-4-6+250</f>
        <v>251</v>
      </c>
    </row>
    <row r="156" spans="2:8" x14ac:dyDescent="0.25">
      <c r="B156" s="14" t="s">
        <v>6</v>
      </c>
      <c r="C156" s="26" t="s">
        <v>6</v>
      </c>
      <c r="D156" s="15">
        <v>47120702</v>
      </c>
      <c r="E156" s="10" t="s">
        <v>178</v>
      </c>
      <c r="F156" s="14" t="s">
        <v>6</v>
      </c>
      <c r="G156" s="3" t="s">
        <v>6</v>
      </c>
      <c r="H156" s="8">
        <f>10-2-1-2-1-3</f>
        <v>1</v>
      </c>
    </row>
    <row r="157" spans="2:8" x14ac:dyDescent="0.25">
      <c r="B157" s="14" t="s">
        <v>6</v>
      </c>
      <c r="C157" s="26" t="s">
        <v>6</v>
      </c>
      <c r="D157" s="15">
        <v>47131618</v>
      </c>
      <c r="E157" s="10" t="s">
        <v>42</v>
      </c>
      <c r="F157" s="16" t="s">
        <v>54</v>
      </c>
      <c r="G157" s="3" t="s">
        <v>6</v>
      </c>
      <c r="H157" s="8">
        <f>50-6-1-1-1-1-1-1-1-1-3-3-6-4-2</f>
        <v>18</v>
      </c>
    </row>
    <row r="158" spans="2:8" x14ac:dyDescent="0.25">
      <c r="B158" s="14" t="s">
        <v>6</v>
      </c>
      <c r="C158" s="26" t="s">
        <v>6</v>
      </c>
      <c r="D158" s="14" t="s">
        <v>6</v>
      </c>
      <c r="E158" s="10" t="s">
        <v>193</v>
      </c>
      <c r="F158" s="16" t="s">
        <v>54</v>
      </c>
      <c r="G158" s="3" t="s">
        <v>6</v>
      </c>
      <c r="H158" s="8">
        <v>69</v>
      </c>
    </row>
  </sheetData>
  <sortState ref="B173:H407">
    <sortCondition ref="H173:H407"/>
  </sortState>
  <mergeCells count="3">
    <mergeCell ref="B2:H2"/>
    <mergeCell ref="B3:H3"/>
    <mergeCell ref="B5:H5"/>
  </mergeCells>
  <printOptions horizontalCentered="1"/>
  <pageMargins left="0.70866141732283505" right="0.70866141732283505" top="0.39370078740157499" bottom="1.37795275590551" header="0.31496062992126" footer="0.39370078740157499"/>
  <pageSetup paperSize="9" scale="78" fitToHeight="0" orientation="landscape" r:id="rId1"/>
  <headerFooter>
    <oddFooter>&amp;L&amp;"-,Negrita"&amp;12Maria Esther Hodge Perez. &amp;"-,Normal"Auxiliar Administrativo&amp;C&amp;P&amp;R&amp;"-,Negrita"&amp;12Elvis Emmanuel Santos &amp;"-,Normal"Encargado Administrativo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Gianna Valencia Colon</dc:creator>
  <cp:lastModifiedBy>Juan Beriguete</cp:lastModifiedBy>
  <cp:lastPrinted>2022-04-21T12:56:11Z</cp:lastPrinted>
  <dcterms:created xsi:type="dcterms:W3CDTF">2017-09-14T14:16:29Z</dcterms:created>
  <dcterms:modified xsi:type="dcterms:W3CDTF">2022-04-21T13:11:24Z</dcterms:modified>
</cp:coreProperties>
</file>